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5" activeTab="21"/>
  </bookViews>
  <sheets>
    <sheet name="STATPARA" sheetId="19" state="veryHidden" r:id="rId1"/>
    <sheet name="Lead" sheetId="4" r:id="rId2"/>
    <sheet name="noteChecks" sheetId="50" r:id="rId3"/>
    <sheet name="Checks" sheetId="46" r:id="rId4"/>
    <sheet name="preBS" sheetId="7" r:id="rId5"/>
    <sheet name="preIS" sheetId="21" r:id="rId6"/>
    <sheet name="preCF" sheetId="8" r:id="rId7"/>
    <sheet name="preCE" sheetId="2" r:id="rId8"/>
    <sheet name="TB" sheetId="5" r:id="rId9"/>
    <sheet name="AJE" sheetId="6" r:id="rId10"/>
    <sheet name="CFJE" sheetId="13" r:id="rId11"/>
    <sheet name="UJE" sheetId="11" r:id="rId12"/>
    <sheet name="AJE1" sheetId="12"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2" hidden="1">noteChecks!$B$8:$Y$408</definedName>
    <definedName name="_xlnm._FilterDatabase" localSheetId="21" hidden="1">Notes!$Z$1:$AE$6254</definedName>
    <definedName name="_xlnm._FilterDatabase" localSheetId="0" hidden="1">STATPARA!$M$1:$X$468</definedName>
    <definedName name="_xlnm._FilterDatabase" localSheetId="11"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Notes!$K$5210</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Notes!$K$5196</definedName>
    <definedName name="CheckA1999" localSheetId="17" hidden="1">BalanceSheet!$G$59</definedName>
    <definedName name="CheckA1999" localSheetId="13" hidden="1">BS!$G$50</definedName>
    <definedName name="CheckA1999" localSheetId="4"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13" hidden="1">BS!$K$38</definedName>
    <definedName name="CheckA4001" localSheetId="4"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13" hidden="1">BS!$K$42</definedName>
    <definedName name="CheckA4002" localSheetId="4" hidden="1">preBS!$K$58</definedName>
    <definedName name="CheckA4002a" localSheetId="21" hidden="1">Notes!$K$4351</definedName>
    <definedName name="CheckA4015" localSheetId="17" hidden="1">BalanceSheet!$K$48</definedName>
    <definedName name="CheckA4015" localSheetId="13" hidden="1">BS!$K$39</definedName>
    <definedName name="CheckA4015" localSheetId="4"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13" hidden="1">BS!$K$46</definedName>
    <definedName name="CheckA4101" localSheetId="4"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13" hidden="1">BS!$K$47</definedName>
    <definedName name="CheckA4102" localSheetId="4" hidden="1">preBS!$K$63</definedName>
    <definedName name="CheckA4102a" localSheetId="21" hidden="1">Notes!$K$4449</definedName>
    <definedName name="CheckA4200" localSheetId="17" hidden="1">BalanceSheet!$K$57</definedName>
    <definedName name="CheckA4200" localSheetId="13" hidden="1">BS!$K$48</definedName>
    <definedName name="CheckA4200" localSheetId="4"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13" hidden="1">BS!$K$43</definedName>
    <definedName name="CheckA4201" localSheetId="4" hidden="1">preBS!$K$59</definedName>
    <definedName name="CheckA4201a" localSheetId="21" hidden="1">Notes!$K$4360</definedName>
    <definedName name="CheckA4215" localSheetId="17" hidden="1">BalanceSheet!$K$53</definedName>
    <definedName name="CheckA4215" localSheetId="13" hidden="1">BS!$K$44</definedName>
    <definedName name="CheckA4215" localSheetId="4" hidden="1">preBS!$K$60</definedName>
    <definedName name="CheckA4215a" localSheetId="21" hidden="1">Notes!$K$4392</definedName>
    <definedName name="CheckA4215b" localSheetId="21" hidden="1">Notes!$K$4367</definedName>
    <definedName name="CheckA4298" localSheetId="4" hidden="1">preBS!$K$65</definedName>
    <definedName name="CheckA4301" localSheetId="17" hidden="1">BalanceSheet!$K$54</definedName>
    <definedName name="CheckA4301" localSheetId="13" hidden="1">BS!$K$45</definedName>
    <definedName name="CheckA4301" localSheetId="4" hidden="1">preBS!$K$61</definedName>
    <definedName name="CheckA4301a" localSheetId="21" hidden="1">Notes!$K$4413</definedName>
    <definedName name="CheckA4398" localSheetId="4" hidden="1">preBS!$K$66</definedName>
    <definedName name="CheckA4999" localSheetId="17" hidden="1">BalanceSheet!$K$58</definedName>
    <definedName name="CheckA4999" localSheetId="13" hidden="1">BS!$K$49</definedName>
    <definedName name="CheckA4999" localSheetId="4" hidden="1">preBS!$K$67</definedName>
    <definedName name="CheckA5000" localSheetId="17" hidden="1">BalanceSheet!$K$59</definedName>
    <definedName name="CheckA5000" localSheetId="13" hidden="1">BS!$K$50</definedName>
    <definedName name="CheckA5000" localSheetId="4"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Notes!$K$4850</definedName>
    <definedName name="CheckA6101b" localSheetId="21" hidden="1">Notes!$K$4837</definedName>
    <definedName name="CheckA6102a" localSheetId="21" hidden="1">Notes!$K$4823</definedName>
    <definedName name="CheckA6111a" localSheetId="21" hidden="1">Notes!$K$4801</definedName>
    <definedName name="CheckA6171a" localSheetId="21" hidden="1">Notes!$K$4900</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Notes!$K$4878</definedName>
    <definedName name="CheckA6672a" localSheetId="21" hidden="1">Notes!$K$4864</definedName>
    <definedName name="CheckA6710a" localSheetId="21" hidden="1">Notes!$K$4915</definedName>
    <definedName name="CheckA6710b" localSheetId="21" hidden="1">Notes!$K$4928</definedName>
    <definedName name="CheckA6711a" localSheetId="21" hidden="1">Notes!$K$4946</definedName>
    <definedName name="CheckA6791a" localSheetId="21" hidden="1">Notes!$K$4959</definedName>
    <definedName name="CheckA6791b" localSheetId="21" hidden="1">Notes!$K$4967</definedName>
    <definedName name="CheckA6799" localSheetId="18" hidden="1">IncomeStatement!$E$43</definedName>
    <definedName name="CheckA6799" localSheetId="14" hidden="1">IS!$E$30</definedName>
    <definedName name="CheckA6799" localSheetId="5" hidden="1">preIS!$E$45</definedName>
    <definedName name="CheckA6811" localSheetId="5" hidden="1">preIS!$E$50</definedName>
    <definedName name="CheckA6812" localSheetId="5" hidden="1">preIS!$E$51</definedName>
    <definedName name="CheckA6829" localSheetId="18" hidden="1">IncomeStatement!$E$46</definedName>
    <definedName name="CheckA6829" localSheetId="14" hidden="1">IS!$E$33</definedName>
    <definedName name="CheckA6829" localSheetId="5" hidden="1">preIS!$E$52</definedName>
    <definedName name="CheckA6839" localSheetId="18" hidden="1">IncomeStatement!$E$65</definedName>
    <definedName name="CheckA6839" localSheetId="14" hidden="1">IS!$E$52</definedName>
    <definedName name="CheckA6839" localSheetId="5" hidden="1">preIS!$E$74</definedName>
    <definedName name="CheckA6841" localSheetId="5" hidden="1">preIS!$E$75</definedName>
    <definedName name="CheckA6842" localSheetId="5" hidden="1">preIS!$E$76</definedName>
    <definedName name="CheckA7001x" localSheetId="21" hidden="1">Notes!$K$5870</definedName>
    <definedName name="CheckA7046a" localSheetId="21" hidden="1">Notes!$K$5022</definedName>
    <definedName name="CheckA7046x" localSheetId="21" hidden="1">Notes!$K$5881</definedName>
    <definedName name="CheckA7051x" localSheetId="21" hidden="1">Notes!$K$5892</definedName>
    <definedName name="CheckA7061x" localSheetId="21" hidden="1">Notes!$K$5903</definedName>
    <definedName name="CheckA7071x" localSheetId="21" hidden="1">Notes!$K$5914</definedName>
    <definedName name="CheckA7096a" localSheetId="21" hidden="1">Notes!$K$5038</definedName>
    <definedName name="CheckA7096x" localSheetId="21" hidden="1">Notes!$K$5925</definedName>
    <definedName name="CheckA7099" localSheetId="19" hidden="1">CashFlow!$E$33</definedName>
    <definedName name="CheckA7099" localSheetId="15" hidden="1">CF!$E$17</definedName>
    <definedName name="CheckA7099" localSheetId="6" hidden="1">preCF!$E$35</definedName>
    <definedName name="CheckA7101x" localSheetId="21" hidden="1">Notes!$K$5936</definedName>
    <definedName name="CheckA7105x" localSheetId="21" hidden="1">Notes!$K$5947</definedName>
    <definedName name="CheckA7111x" localSheetId="21" hidden="1">Notes!$K$5958</definedName>
    <definedName name="CheckA7146a" localSheetId="21" hidden="1">Notes!$K$5054</definedName>
    <definedName name="CheckA7151x" localSheetId="21" hidden="1">Notes!$K$5977</definedName>
    <definedName name="CheckA7161x" localSheetId="21" hidden="1">Notes!$K$5998</definedName>
    <definedName name="CheckA7196a" localSheetId="21" hidden="1">Notes!$K$5065</definedName>
    <definedName name="CheckA7211x" localSheetId="21" hidden="1">Notes!$K$6009</definedName>
    <definedName name="CheckA7246a" localSheetId="21" hidden="1">Notes!$K$5076</definedName>
    <definedName name="CheckA7251x" localSheetId="21" hidden="1">Notes!$K$6021</definedName>
    <definedName name="CheckA7261x" localSheetId="21" hidden="1">Notes!$K$6033</definedName>
    <definedName name="CheckA7296a" localSheetId="21" hidden="1">Notes!$K$5087</definedName>
    <definedName name="CheckA7348" localSheetId="19" hidden="1">CashFlow!$E$59</definedName>
    <definedName name="CheckA7348" localSheetId="15" hidden="1">CF!$E$42</definedName>
    <definedName name="CheckA7348" localSheetId="6" hidden="1">preCF!$E$63</definedName>
    <definedName name="CheckA7349" localSheetId="19" hidden="1">CashFlow!$E$60</definedName>
    <definedName name="CheckA7349" localSheetId="15" hidden="1">CF!$E$43</definedName>
    <definedName name="CheckA7349" localSheetId="6" hidden="1">preCF!$E$64</definedName>
    <definedName name="CheckA7399" localSheetId="19" hidden="1">CashFlow!$E$61</definedName>
    <definedName name="CheckA7399" localSheetId="15" hidden="1">CF!$E$44</definedName>
    <definedName name="CheckA7399" localSheetId="6" hidden="1">preCF!$E$65</definedName>
    <definedName name="CheckA7500a" localSheetId="21" hidden="1">Notes!$K$5098</definedName>
    <definedName name="CheckA7500b" localSheetId="21" hidden="1">Notes!$K$5121</definedName>
    <definedName name="CheckA7500c" localSheetId="21" hidden="1">Notes!$K$5129</definedName>
    <definedName name="CheckA7500e" localSheetId="21" hidden="1">Notes!$K$5158</definedName>
    <definedName name="CheckA7500f" localSheetId="21" hidden="1">Notes!$K$5174</definedName>
    <definedName name="CheckA7500g" localSheetId="21" hidden="1">Notes!$K$5138</definedName>
    <definedName name="CheckA7500h" localSheetId="21" hidden="1">Notes!$K$5148</definedName>
    <definedName name="CheckA7502" localSheetId="19" hidden="1">CashFlow!$E$68</definedName>
    <definedName name="CheckA7502" localSheetId="15" hidden="1">CF!$E$51</definedName>
    <definedName name="CheckA7502" localSheetId="6" hidden="1">preCF!$E$71</definedName>
    <definedName name="CheckA7503a" localSheetId="21" hidden="1">Notes!$K$6056</definedName>
    <definedName name="CheckA7505a" localSheetId="21" hidden="1">Notes!$K$6065</definedName>
    <definedName name="CheckA7506a" localSheetId="21" hidden="1">Notes!$K$6076</definedName>
    <definedName name="CheckA7507a" localSheetId="21" hidden="1">Notes!$K$6085</definedName>
    <definedName name="CheckA7508a" localSheetId="21" hidden="1">Notes!$K$6094</definedName>
    <definedName name="CheckA7509a" localSheetId="21" hidden="1">Notes!$K$6108</definedName>
    <definedName name="CheckA7510a" localSheetId="21" hidden="1">Notes!$K$6118</definedName>
    <definedName name="CheckA7511a" localSheetId="21" hidden="1">Notes!$K$6127</definedName>
    <definedName name="CheckA7512a" localSheetId="21" hidden="1">Notes!$K$6138</definedName>
    <definedName name="CheckA7515a" localSheetId="21" hidden="1">Notes!$K$6147</definedName>
    <definedName name="CheckA7516a" localSheetId="21" hidden="1">Notes!$K$6156</definedName>
    <definedName name="CheckA7517a" localSheetId="21" hidden="1">Notes!$K$6165</definedName>
    <definedName name="CheckA7518a" localSheetId="21" hidden="1">Notes!$K$6187</definedName>
    <definedName name="CheckA7519a" localSheetId="21" hidden="1">Notes!$K$6214</definedName>
    <definedName name="CheckA7523a" localSheetId="21" hidden="1">Notes!$K$6243</definedName>
    <definedName name="CheckA7525" localSheetId="19" hidden="1">CashFlow!$E$85</definedName>
    <definedName name="CheckA7525" localSheetId="15" hidden="1">CF!$E$68</definedName>
    <definedName name="CheckA7525" localSheetId="6" hidden="1">preCF!$E$88</definedName>
    <definedName name="CheckA7539" localSheetId="19" hidden="1">CashFlow!$E$95</definedName>
    <definedName name="CheckA7539" localSheetId="15" hidden="1">CF!$E$78</definedName>
    <definedName name="CheckA7539" localSheetId="6" hidden="1">preCF!$E$98</definedName>
    <definedName name="CheckA8001" localSheetId="16" hidden="1">CE!$P$9</definedName>
    <definedName name="CheckA8001" localSheetId="20" hidden="1">OwnersEquity!$P$9</definedName>
    <definedName name="CheckA8001" localSheetId="7" hidden="1">preCE!$Q$9</definedName>
    <definedName name="CheckA8010" localSheetId="16" hidden="1">CE!$P$13</definedName>
    <definedName name="CheckA8010" localSheetId="20" hidden="1">OwnersEquity!$P$13</definedName>
    <definedName name="CheckA8010" localSheetId="7" hidden="1">preCE!$Q$14</definedName>
    <definedName name="CheckA8040" localSheetId="16" hidden="1">CE!$P$15</definedName>
    <definedName name="CheckA8040" localSheetId="20" hidden="1">OwnersEquity!$P$15</definedName>
    <definedName name="CheckA8040" localSheetId="7" hidden="1">preCE!$Q$18</definedName>
    <definedName name="CheckA8099" localSheetId="16" hidden="1">CE!$P$36</definedName>
    <definedName name="CheckA8099" localSheetId="20" hidden="1">OwnersEquity!$P$37</definedName>
    <definedName name="CheckA8099" localSheetId="7" hidden="1">preCE!$Q$40</definedName>
    <definedName name="CheckA8101" localSheetId="16" hidden="1">CE!$D$9</definedName>
    <definedName name="CheckA8101" localSheetId="20" hidden="1">OwnersEquity!$D$9</definedName>
    <definedName name="CheckA8101" localSheetId="7" hidden="1">preCE!$D$9</definedName>
    <definedName name="CheckA8110" localSheetId="16" hidden="1">CE!$D$13</definedName>
    <definedName name="CheckA8110" localSheetId="20" hidden="1">OwnersEquity!$D$13</definedName>
    <definedName name="CheckA8110" localSheetId="7" hidden="1">preCE!$D$14</definedName>
    <definedName name="CheckA8199" localSheetId="16" hidden="1">CE!$D$36</definedName>
    <definedName name="CheckA8199" localSheetId="20" hidden="1">OwnersEquity!$D$37</definedName>
    <definedName name="CheckA8199" localSheetId="7" hidden="1">preCE!$D$40</definedName>
    <definedName name="CheckA8201" localSheetId="16" hidden="1">CE!$H$9</definedName>
    <definedName name="CheckA8201" localSheetId="20" hidden="1">OwnersEquity!$H$9</definedName>
    <definedName name="CheckA8201" localSheetId="7" hidden="1">preCE!$H$9</definedName>
    <definedName name="CheckA8210" localSheetId="16" hidden="1">CE!$H$13</definedName>
    <definedName name="CheckA8210" localSheetId="20" hidden="1">OwnersEquity!$H$13</definedName>
    <definedName name="CheckA8210" localSheetId="7" hidden="1">preCE!$H$14</definedName>
    <definedName name="CheckA8299" localSheetId="16" hidden="1">CE!$H$36</definedName>
    <definedName name="CheckA8299" localSheetId="20" hidden="1">OwnersEquity!$H$37</definedName>
    <definedName name="CheckA8299" localSheetId="7" hidden="1">preCE!$H$40</definedName>
    <definedName name="CheckA8301" localSheetId="16" hidden="1">CE!$I$9</definedName>
    <definedName name="CheckA8301" localSheetId="20" hidden="1">OwnersEquity!$I$9</definedName>
    <definedName name="CheckA8301" localSheetId="7" hidden="1">preCE!$I$9</definedName>
    <definedName name="CheckA8310" localSheetId="16" hidden="1">CE!$I$13</definedName>
    <definedName name="CheckA8310" localSheetId="20" hidden="1">OwnersEquity!$I$13</definedName>
    <definedName name="CheckA8310" localSheetId="7" hidden="1">preCE!$I$14</definedName>
    <definedName name="CheckA8399" localSheetId="16" hidden="1">CE!$I$36</definedName>
    <definedName name="CheckA8399" localSheetId="20" hidden="1">OwnersEquity!$I$37</definedName>
    <definedName name="CheckA8399" localSheetId="7" hidden="1">preCE!$I$40</definedName>
    <definedName name="CheckA8401" localSheetId="16" hidden="1">CE!$K$9</definedName>
    <definedName name="CheckA8401" localSheetId="20" hidden="1">OwnersEquity!$K$9</definedName>
    <definedName name="CheckA8401" localSheetId="7" hidden="1">preCE!$K$9</definedName>
    <definedName name="CheckA8410" localSheetId="16" hidden="1">CE!$K$13</definedName>
    <definedName name="CheckA8410" localSheetId="20" hidden="1">OwnersEquity!$K$13</definedName>
    <definedName name="CheckA8410" localSheetId="7" hidden="1">preCE!$K$14</definedName>
    <definedName name="CheckA8499" localSheetId="16" hidden="1">CE!$K$36</definedName>
    <definedName name="CheckA8499" localSheetId="20" hidden="1">OwnersEquity!$K$37</definedName>
    <definedName name="CheckA8499" localSheetId="7" hidden="1">preCE!$K$40</definedName>
    <definedName name="CheckA8501" localSheetId="16" hidden="1">CE!$L$9</definedName>
    <definedName name="CheckA8501" localSheetId="20" hidden="1">OwnersEquity!$L$9</definedName>
    <definedName name="CheckA8501" localSheetId="7" hidden="1">preCE!$L$9</definedName>
    <definedName name="CheckA8510" localSheetId="16" hidden="1">CE!$L$13</definedName>
    <definedName name="CheckA8510" localSheetId="20" hidden="1">OwnersEquity!$L$13</definedName>
    <definedName name="CheckA8510" localSheetId="7" hidden="1">preCE!$L$14</definedName>
    <definedName name="CheckA8599" localSheetId="16"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6" hidden="1">CE!$M$36</definedName>
    <definedName name="CheckA8699" localSheetId="20" hidden="1">OwnersEquity!$M$37</definedName>
    <definedName name="CheckA8699" localSheetId="7" hidden="1">preCE!$M$40</definedName>
    <definedName name="CheckA8701" localSheetId="16" hidden="1">CE!$N$9</definedName>
    <definedName name="CheckA8701" localSheetId="20" hidden="1">OwnersEquity!$N$9</definedName>
    <definedName name="CheckA8701" localSheetId="7" hidden="1">preCE!$N$9</definedName>
    <definedName name="CheckA8710" localSheetId="16" hidden="1">CE!$N$13</definedName>
    <definedName name="CheckA8710" localSheetId="20" hidden="1">OwnersEquity!$N$13</definedName>
    <definedName name="CheckA8710" localSheetId="7" hidden="1">preCE!$N$14</definedName>
    <definedName name="CheckA8740" localSheetId="16" hidden="1">CE!$N$15</definedName>
    <definedName name="CheckA8740" localSheetId="20" hidden="1">OwnersEquity!$N$15</definedName>
    <definedName name="CheckA8740" localSheetId="7" hidden="1">preCE!$N$18</definedName>
    <definedName name="CheckA8799" localSheetId="16" hidden="1">CE!$N$36</definedName>
    <definedName name="CheckA8799" localSheetId="20" hidden="1">OwnersEquity!$N$37</definedName>
    <definedName name="CheckA8799" localSheetId="7" hidden="1">preCE!$N$40</definedName>
    <definedName name="CheckA8801" localSheetId="16" hidden="1">CE!$O$9</definedName>
    <definedName name="CheckA8801" localSheetId="20" hidden="1">OwnersEquity!$O$9</definedName>
    <definedName name="CheckA8801" localSheetId="7" hidden="1">preCE!$O$9</definedName>
    <definedName name="CheckA8810" localSheetId="16" hidden="1">CE!$O$13</definedName>
    <definedName name="CheckA8810" localSheetId="20" hidden="1">OwnersEquity!$O$13</definedName>
    <definedName name="CheckA8810" localSheetId="7" hidden="1">preCE!$O$14</definedName>
    <definedName name="CheckA8899" localSheetId="16"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6" hidden="1">CE!$E$9</definedName>
    <definedName name="CheckA8b01" localSheetId="20" hidden="1">OwnersEquity!$E$9</definedName>
    <definedName name="CheckA8b01" localSheetId="7" hidden="1">preCE!$E$9</definedName>
    <definedName name="CheckA8b10" localSheetId="16" hidden="1">CE!$E$13</definedName>
    <definedName name="CheckA8b10" localSheetId="20" hidden="1">OwnersEquity!$E$13</definedName>
    <definedName name="CheckA8b10" localSheetId="7" hidden="1">preCE!$E$14</definedName>
    <definedName name="CheckA8b99" localSheetId="16" hidden="1">CE!$E$36</definedName>
    <definedName name="CheckA8b99" localSheetId="20" hidden="1">OwnersEquity!$E$37</definedName>
    <definedName name="CheckA8b99" localSheetId="7" hidden="1">preCE!$E$40</definedName>
    <definedName name="CheckA8c01" localSheetId="16" hidden="1">CE!$F$9</definedName>
    <definedName name="CheckA8c01" localSheetId="20" hidden="1">OwnersEquity!$F$9</definedName>
    <definedName name="CheckA8c01" localSheetId="7" hidden="1">preCE!$F$9</definedName>
    <definedName name="CheckA8c10" localSheetId="16" hidden="1">CE!$F$13</definedName>
    <definedName name="CheckA8c10" localSheetId="20" hidden="1">OwnersEquity!$F$13</definedName>
    <definedName name="CheckA8c10" localSheetId="7" hidden="1">preCE!$F$14</definedName>
    <definedName name="CheckA8c99" localSheetId="16" hidden="1">CE!$F$36</definedName>
    <definedName name="CheckA8c99" localSheetId="20" hidden="1">OwnersEquity!$F$37</definedName>
    <definedName name="CheckA8c99" localSheetId="7" hidden="1">preCE!$F$40</definedName>
    <definedName name="CheckA8d01" localSheetId="16" hidden="1">CE!$G$9</definedName>
    <definedName name="CheckA8d01" localSheetId="20" hidden="1">OwnersEquity!$G$9</definedName>
    <definedName name="CheckA8d01" localSheetId="7" hidden="1">preCE!$G$9</definedName>
    <definedName name="CheckA8d10" localSheetId="16" hidden="1">CE!$G$13</definedName>
    <definedName name="CheckA8d10" localSheetId="20" hidden="1">OwnersEquity!$G$13</definedName>
    <definedName name="CheckA8d10" localSheetId="7" hidden="1">preCE!$G$14</definedName>
    <definedName name="CheckA8d99" localSheetId="16" hidden="1">CE!$G$36</definedName>
    <definedName name="CheckA8d99" localSheetId="20" hidden="1">OwnersEquity!$G$37</definedName>
    <definedName name="CheckA8d99" localSheetId="7" hidden="1">preCE!$G$40</definedName>
    <definedName name="CheckA8g01" localSheetId="16" hidden="1">CE!$J$9</definedName>
    <definedName name="CheckA8g01" localSheetId="20" hidden="1">OwnersEquity!$J$9</definedName>
    <definedName name="CheckA8g01" localSheetId="7" hidden="1">preCE!$J$9</definedName>
    <definedName name="CheckA8g10" localSheetId="16" hidden="1">CE!$J$13</definedName>
    <definedName name="CheckA8g10" localSheetId="20" hidden="1">OwnersEquity!$J$13</definedName>
    <definedName name="CheckA8g10" localSheetId="7" hidden="1">preCE!$J$14</definedName>
    <definedName name="CheckA8g40" localSheetId="16" hidden="1">CE!$J$15</definedName>
    <definedName name="CheckA8g40" localSheetId="20" hidden="1">OwnersEquity!$J$15</definedName>
    <definedName name="CheckA8g40" localSheetId="7" hidden="1">preCE!$J$18</definedName>
    <definedName name="CheckA8g99" localSheetId="16" hidden="1">CE!$J$36</definedName>
    <definedName name="CheckA8g99" localSheetId="20" hidden="1">OwnersEquity!$J$37</definedName>
    <definedName name="CheckA8g99" localSheetId="7" hidden="1">preCE!$J$40</definedName>
    <definedName name="CheckA9120c" localSheetId="21" hidden="1">Notes!$K$5649</definedName>
    <definedName name="CheckA9120d" localSheetId="21" hidden="1">Notes!$K$5659</definedName>
    <definedName name="CheckA9120e" localSheetId="21" hidden="1">Notes!$K$5669</definedName>
    <definedName name="CheckA9120f" localSheetId="21" hidden="1">Notes!$K$5679</definedName>
    <definedName name="CheckA9120g" localSheetId="21" hidden="1">Notes!$K$5689</definedName>
    <definedName name="CheckA9120h" localSheetId="21" hidden="1">Notes!$K$5699</definedName>
    <definedName name="CheckA9120i" localSheetId="21" hidden="1">Notes!$K$5709</definedName>
    <definedName name="CheckA9120j" localSheetId="21" hidden="1">Notes!$K$5719</definedName>
    <definedName name="CheckA9120k" localSheetId="21" hidden="1">Notes!$K$5729</definedName>
    <definedName name="CheckA9120l" localSheetId="21" hidden="1">Notes!$K$5739</definedName>
    <definedName name="CheckA9120m" localSheetId="21" hidden="1">Notes!$K$5623</definedName>
    <definedName name="CheckA9120n" localSheetId="21" hidden="1">Notes!$K$5636</definedName>
    <definedName name="CheckA9120o" localSheetId="21" hidden="1">Notes!$K$5747</definedName>
    <definedName name="CheckA9120p" localSheetId="21" hidden="1">Notes!$K$5762</definedName>
    <definedName name="CheckA9314a" localSheetId="21" hidden="1">Notes!$K$5185</definedName>
    <definedName name="CheckA9325g" localSheetId="21" hidden="1">Notes!$K$5321</definedName>
    <definedName name="CheckA9325h" localSheetId="21" hidden="1">Notes!$K$5338</definedName>
    <definedName name="CheckA9325i" localSheetId="21" hidden="1">Notes!$K$5355</definedName>
    <definedName name="CheckA9325j" localSheetId="21" hidden="1">Notes!$K$5371</definedName>
    <definedName name="CheckA9325k" localSheetId="21" hidden="1">Notes!$K$5387</definedName>
    <definedName name="CheckA9325m" localSheetId="21" hidden="1">Notes!$K$5421</definedName>
    <definedName name="CheckA9331a" localSheetId="21" hidden="1">Notes!$K$5456</definedName>
    <definedName name="CheckA9331b" localSheetId="21" hidden="1">Notes!$K$5603</definedName>
    <definedName name="CheckA9331g" localSheetId="21" hidden="1">Notes!$K$5577</definedName>
    <definedName name="CheckA9331i" localSheetId="21" hidden="1">Notes!$K$5550</definedName>
    <definedName name="CheckA9331j" localSheetId="21" hidden="1">Notes!$K$5559</definedName>
    <definedName name="CheckA9331k" localSheetId="21" hidden="1">Notes!$K$5502</definedName>
    <definedName name="CheckA9367a" localSheetId="21" hidden="1">Notes!$K$5776</definedName>
    <definedName name="CheckA9367b" localSheetId="21" hidden="1">Notes!$K$5797</definedName>
    <definedName name="CheckA9371h" localSheetId="21" hidden="1">Notes!$K$5277</definedName>
    <definedName name="CheckA9371i" localSheetId="21" hidden="1">Notes!$K$5292</definedName>
    <definedName name="CheckA9371j" localSheetId="21" hidden="1">Notes!$K$5307</definedName>
    <definedName name="CheckA9601a" localSheetId="21" hidden="1">Notes!$K$5806</definedName>
    <definedName name="CheckA9601b" localSheetId="21" hidden="1">Notes!$K$5848</definedName>
    <definedName name="CheckA9601c" localSheetId="21" hidden="1">Notes!$K$5838</definedName>
    <definedName name="CheckA9601d" localSheetId="21" hidden="1">Notes!$K$5858</definedName>
    <definedName name="CheckA9690a" localSheetId="21" hidden="1">Notes!$K$4986</definedName>
    <definedName name="CheckA9690b" localSheetId="21" hidden="1">Notes!$K$5000</definedName>
    <definedName name="CheckA9690c" localSheetId="21" hidden="1">Notes!$K$5010</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Notes!$N$5210</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Notes!$N$5196</definedName>
    <definedName name="CheckB1999" localSheetId="17" hidden="1">BalanceSheet!$H$59</definedName>
    <definedName name="CheckB1999" localSheetId="13" hidden="1">BS!$H$50</definedName>
    <definedName name="CheckB1999" localSheetId="4"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13" hidden="1">BS!$L$38</definedName>
    <definedName name="CheckB4001" localSheetId="4"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13" hidden="1">BS!$L$42</definedName>
    <definedName name="CheckB4002" localSheetId="4" hidden="1">preBS!$L$58</definedName>
    <definedName name="CheckB4002a" localSheetId="21" hidden="1">Notes!$N$4351</definedName>
    <definedName name="CheckB4015" localSheetId="17" hidden="1">BalanceSheet!$L$48</definedName>
    <definedName name="CheckB4015" localSheetId="13" hidden="1">BS!$L$39</definedName>
    <definedName name="CheckB4015" localSheetId="4"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13" hidden="1">BS!$L$46</definedName>
    <definedName name="CheckB4101" localSheetId="4"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13" hidden="1">BS!$L$47</definedName>
    <definedName name="CheckB4102" localSheetId="4" hidden="1">preBS!$L$63</definedName>
    <definedName name="CheckB4102a" localSheetId="21" hidden="1">Notes!$N$4449</definedName>
    <definedName name="CheckB4200" localSheetId="17" hidden="1">BalanceSheet!$L$57</definedName>
    <definedName name="CheckB4200" localSheetId="13" hidden="1">BS!$L$48</definedName>
    <definedName name="CheckB4200" localSheetId="4"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13" hidden="1">BS!$L$43</definedName>
    <definedName name="CheckB4201" localSheetId="4" hidden="1">preBS!$L$59</definedName>
    <definedName name="CheckB4201a" localSheetId="21" hidden="1">Notes!$N$4360</definedName>
    <definedName name="CheckB4215" localSheetId="17" hidden="1">BalanceSheet!$L$53</definedName>
    <definedName name="CheckB4215" localSheetId="13" hidden="1">BS!$L$44</definedName>
    <definedName name="CheckB4215" localSheetId="4" hidden="1">preBS!$L$60</definedName>
    <definedName name="CheckB4215a" localSheetId="21" hidden="1">Notes!$N$4392</definedName>
    <definedName name="CheckB4215b" localSheetId="21" hidden="1">Notes!$N$4367</definedName>
    <definedName name="CheckB4298" localSheetId="4" hidden="1">preBS!$L$65</definedName>
    <definedName name="CheckB4301" localSheetId="17" hidden="1">BalanceSheet!$L$54</definedName>
    <definedName name="CheckB4301" localSheetId="13" hidden="1">BS!$L$45</definedName>
    <definedName name="CheckB4301" localSheetId="4" hidden="1">preBS!$L$61</definedName>
    <definedName name="CheckB4301a" localSheetId="21" hidden="1">Notes!$N$4413</definedName>
    <definedName name="CheckB4398" localSheetId="4" hidden="1">preBS!$L$66</definedName>
    <definedName name="CheckB4999" localSheetId="17" hidden="1">BalanceSheet!$L$58</definedName>
    <definedName name="CheckB4999" localSheetId="13" hidden="1">BS!$L$49</definedName>
    <definedName name="CheckB4999" localSheetId="4" hidden="1">preBS!$L$67</definedName>
    <definedName name="CheckB5000" localSheetId="17" hidden="1">BalanceSheet!$L$59</definedName>
    <definedName name="CheckB5000" localSheetId="13" hidden="1">BS!$L$50</definedName>
    <definedName name="CheckB5000" localSheetId="4"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Notes!$N$4850</definedName>
    <definedName name="CheckB6101b" localSheetId="21" hidden="1">Notes!$N$4837</definedName>
    <definedName name="CheckB6102a" localSheetId="21" hidden="1">Notes!$N$4823</definedName>
    <definedName name="CheckB6111a" localSheetId="21" hidden="1">Notes!$N$4801</definedName>
    <definedName name="CheckB6171a" localSheetId="21" hidden="1">Notes!$N$4900</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Notes!$N$4878</definedName>
    <definedName name="CheckB6672a" localSheetId="21" hidden="1">Notes!$N$4864</definedName>
    <definedName name="CheckB6710a" localSheetId="21" hidden="1">Notes!$N$4915</definedName>
    <definedName name="CheckB6710b" localSheetId="21" hidden="1">Notes!$N$4928</definedName>
    <definedName name="CheckB6711a" localSheetId="21" hidden="1">Notes!$N$4946</definedName>
    <definedName name="CheckB6791a" localSheetId="21" hidden="1">Notes!$N$4959</definedName>
    <definedName name="CheckB6791b" localSheetId="21" hidden="1">Notes!$N$4967</definedName>
    <definedName name="CheckB6799" localSheetId="18" hidden="1">IncomeStatement!$F$43</definedName>
    <definedName name="CheckB6799" localSheetId="14" hidden="1">IS!$F$30</definedName>
    <definedName name="CheckB6799" localSheetId="5" hidden="1">preIS!$F$45</definedName>
    <definedName name="CheckB6811" localSheetId="5" hidden="1">preIS!$F$50</definedName>
    <definedName name="CheckB6812" localSheetId="5" hidden="1">preIS!$F$51</definedName>
    <definedName name="CheckB6829" localSheetId="18" hidden="1">IncomeStatement!$F$46</definedName>
    <definedName name="CheckB6829" localSheetId="14" hidden="1">IS!$F$33</definedName>
    <definedName name="CheckB6829" localSheetId="5" hidden="1">preIS!$F$52</definedName>
    <definedName name="CheckB6839" localSheetId="18" hidden="1">IncomeStatement!$F$65</definedName>
    <definedName name="CheckB6839" localSheetId="14" hidden="1">IS!$F$52</definedName>
    <definedName name="CheckB6839" localSheetId="5" hidden="1">preIS!$F$74</definedName>
    <definedName name="CheckB6841" localSheetId="5" hidden="1">preIS!$F$75</definedName>
    <definedName name="CheckB6842" localSheetId="5" hidden="1">preIS!$F$76</definedName>
    <definedName name="CheckB7001x" localSheetId="21" hidden="1">Notes!$N$5870</definedName>
    <definedName name="CheckB7046a" localSheetId="21" hidden="1">Notes!$N$5022</definedName>
    <definedName name="CheckB7046x" localSheetId="21" hidden="1">Notes!$N$5881</definedName>
    <definedName name="CheckB7051x" localSheetId="21" hidden="1">Notes!$N$5892</definedName>
    <definedName name="CheckB7061x" localSheetId="21" hidden="1">Notes!$N$5903</definedName>
    <definedName name="CheckB7071x" localSheetId="21" hidden="1">Notes!$N$5914</definedName>
    <definedName name="CheckB7096a" localSheetId="21" hidden="1">Notes!$N$5038</definedName>
    <definedName name="CheckB7096x" localSheetId="21" hidden="1">Notes!$N$5925</definedName>
    <definedName name="CheckB7099" localSheetId="19" hidden="1">CashFlow!$F$33</definedName>
    <definedName name="CheckB7099" localSheetId="15" hidden="1">CF!$F$17</definedName>
    <definedName name="CheckB7099" localSheetId="6" hidden="1">preCF!$F$35</definedName>
    <definedName name="CheckB7101x" localSheetId="21" hidden="1">Notes!$N$5936</definedName>
    <definedName name="CheckB7105x" localSheetId="21" hidden="1">Notes!$N$5947</definedName>
    <definedName name="CheckB7111x" localSheetId="21" hidden="1">Notes!$N$5958</definedName>
    <definedName name="CheckB7146a" localSheetId="21" hidden="1">Notes!$N$5054</definedName>
    <definedName name="CheckB7151x" localSheetId="21" hidden="1">Notes!$N$5977</definedName>
    <definedName name="CheckB7161x" localSheetId="21" hidden="1">Notes!$N$5998</definedName>
    <definedName name="CheckB7196a" localSheetId="21" hidden="1">Notes!$N$5065</definedName>
    <definedName name="CheckB7211x" localSheetId="21" hidden="1">Notes!$N$6009</definedName>
    <definedName name="CheckB7246a" localSheetId="21" hidden="1">Notes!$N$5076</definedName>
    <definedName name="CheckB7251x" localSheetId="21" hidden="1">Notes!$N$6021</definedName>
    <definedName name="CheckB7261x" localSheetId="21" hidden="1">Notes!$N$6033</definedName>
    <definedName name="CheckB7296a" localSheetId="21" hidden="1">Notes!$N$5087</definedName>
    <definedName name="CheckB7348" localSheetId="19" hidden="1">CashFlow!$F$59</definedName>
    <definedName name="CheckB7348" localSheetId="15" hidden="1">CF!$F$42</definedName>
    <definedName name="CheckB7348" localSheetId="6" hidden="1">preCF!$F$63</definedName>
    <definedName name="CheckB7349" localSheetId="19" hidden="1">CashFlow!$F$60</definedName>
    <definedName name="CheckB7349" localSheetId="15" hidden="1">CF!$F$43</definedName>
    <definedName name="CheckB7349" localSheetId="6" hidden="1">preCF!$F$64</definedName>
    <definedName name="CheckB7399" localSheetId="19" hidden="1">CashFlow!$F$61</definedName>
    <definedName name="CheckB7399" localSheetId="15" hidden="1">CF!$F$44</definedName>
    <definedName name="CheckB7399" localSheetId="6" hidden="1">preCF!$F$65</definedName>
    <definedName name="CheckB7500a" localSheetId="21" hidden="1">Notes!$N$5098</definedName>
    <definedName name="CheckB7500b" localSheetId="21" hidden="1">Notes!$N$5121</definedName>
    <definedName name="CheckB7500c" localSheetId="21" hidden="1">Notes!$N$5129</definedName>
    <definedName name="CheckB7500e" localSheetId="21" hidden="1">Notes!$N$5158</definedName>
    <definedName name="CheckB7500f" localSheetId="21" hidden="1">Notes!$N$5174</definedName>
    <definedName name="CheckB7500g" localSheetId="21" hidden="1">Notes!$N$5138</definedName>
    <definedName name="CheckB7500h" localSheetId="21" hidden="1">Notes!$N$5148</definedName>
    <definedName name="CheckB7502" localSheetId="19" hidden="1">CashFlow!$F$68</definedName>
    <definedName name="CheckB7502" localSheetId="15" hidden="1">CF!$F$51</definedName>
    <definedName name="CheckB7502" localSheetId="6" hidden="1">preCF!$F$71</definedName>
    <definedName name="CheckB7503a" localSheetId="21" hidden="1">Notes!$N$6056</definedName>
    <definedName name="CheckB7505a" localSheetId="21" hidden="1">Notes!$N$6065</definedName>
    <definedName name="CheckB7506a" localSheetId="21" hidden="1">Notes!$N$6076</definedName>
    <definedName name="CheckB7507a" localSheetId="21" hidden="1">Notes!$N$6085</definedName>
    <definedName name="CheckB7508a" localSheetId="21" hidden="1">Notes!$N$6094</definedName>
    <definedName name="CheckB7509a" localSheetId="21" hidden="1">Notes!$N$6108</definedName>
    <definedName name="CheckB7510a" localSheetId="21" hidden="1">Notes!$N$6118</definedName>
    <definedName name="CheckB7511a" localSheetId="21" hidden="1">Notes!$N$6127</definedName>
    <definedName name="CheckB7512a" localSheetId="21" hidden="1">Notes!$N$6138</definedName>
    <definedName name="CheckB7515a" localSheetId="21" hidden="1">Notes!$N$6147</definedName>
    <definedName name="CheckB7516a" localSheetId="21" hidden="1">Notes!$N$6156</definedName>
    <definedName name="CheckB7517a" localSheetId="21" hidden="1">Notes!$N$6165</definedName>
    <definedName name="CheckB7518a" localSheetId="21" hidden="1">Notes!$N$6187</definedName>
    <definedName name="CheckB7519a" localSheetId="21" hidden="1">Notes!$N$6214</definedName>
    <definedName name="CheckB7523a" localSheetId="21" hidden="1">Notes!$N$6243</definedName>
    <definedName name="CheckB7525" localSheetId="19" hidden="1">CashFlow!$F$85</definedName>
    <definedName name="CheckB7525" localSheetId="15" hidden="1">CF!$F$68</definedName>
    <definedName name="CheckB7525" localSheetId="6" hidden="1">preCF!$F$88</definedName>
    <definedName name="CheckB7539" localSheetId="19" hidden="1">CashFlow!$F$95</definedName>
    <definedName name="CheckB7539" localSheetId="15" hidden="1">CF!$F$78</definedName>
    <definedName name="CheckB7539" localSheetId="6" hidden="1">preCF!$F$98</definedName>
    <definedName name="CheckB8001" localSheetId="16" hidden="1">CE!$AC$9</definedName>
    <definedName name="CheckB8001" localSheetId="20" hidden="1">OwnersEquity!$AC$9</definedName>
    <definedName name="CheckB8001" localSheetId="7" hidden="1">preCE!$AE$9</definedName>
    <definedName name="CheckB8040" localSheetId="16" hidden="1">CE!$AC$15</definedName>
    <definedName name="CheckB8040" localSheetId="20" hidden="1">OwnersEquity!$AC$15</definedName>
    <definedName name="CheckB8040" localSheetId="7" hidden="1">preCE!$AE$18</definedName>
    <definedName name="CheckB8099" localSheetId="16" hidden="1">CE!$AC$36</definedName>
    <definedName name="CheckB8099" localSheetId="20" hidden="1">OwnersEquity!$AC$37</definedName>
    <definedName name="CheckB8099" localSheetId="7" hidden="1">preCE!$AE$40</definedName>
    <definedName name="CheckB8101" localSheetId="16" hidden="1">CE!$Q$9</definedName>
    <definedName name="CheckB8101" localSheetId="20" hidden="1">OwnersEquity!$Q$9</definedName>
    <definedName name="CheckB8101" localSheetId="7" hidden="1">preCE!$R$9</definedName>
    <definedName name="CheckB8199" localSheetId="16" hidden="1">CE!$Q$36</definedName>
    <definedName name="CheckB8199" localSheetId="20" hidden="1">OwnersEquity!$Q$37</definedName>
    <definedName name="CheckB8199" localSheetId="7" hidden="1">preCE!$R$40</definedName>
    <definedName name="CheckB8201" localSheetId="16" hidden="1">CE!$U$9</definedName>
    <definedName name="CheckB8201" localSheetId="20" hidden="1">OwnersEquity!$U$9</definedName>
    <definedName name="CheckB8201" localSheetId="7" hidden="1">preCE!$V$9</definedName>
    <definedName name="CheckB8299" localSheetId="16" hidden="1">CE!$U$36</definedName>
    <definedName name="CheckB8299" localSheetId="20" hidden="1">OwnersEquity!$U$37</definedName>
    <definedName name="CheckB8299" localSheetId="7" hidden="1">preCE!$V$40</definedName>
    <definedName name="CheckB8301" localSheetId="16" hidden="1">CE!$V$9</definedName>
    <definedName name="CheckB8301" localSheetId="20" hidden="1">OwnersEquity!$V$9</definedName>
    <definedName name="CheckB8301" localSheetId="7" hidden="1">preCE!$W$9</definedName>
    <definedName name="CheckB8399" localSheetId="16" hidden="1">CE!$V$36</definedName>
    <definedName name="CheckB8399" localSheetId="20" hidden="1">OwnersEquity!$V$37</definedName>
    <definedName name="CheckB8399" localSheetId="7" hidden="1">preCE!$W$40</definedName>
    <definedName name="CheckB8401" localSheetId="16" hidden="1">CE!$X$9</definedName>
    <definedName name="CheckB8401" localSheetId="20" hidden="1">OwnersEquity!$X$9</definedName>
    <definedName name="CheckB8401" localSheetId="7" hidden="1">preCE!$Y$9</definedName>
    <definedName name="CheckB8499" localSheetId="16" hidden="1">CE!$X$36</definedName>
    <definedName name="CheckB8499" localSheetId="20" hidden="1">OwnersEquity!$X$37</definedName>
    <definedName name="CheckB8499" localSheetId="7" hidden="1">preCE!$Y$40</definedName>
    <definedName name="CheckB8501" localSheetId="16" hidden="1">CE!$Y$9</definedName>
    <definedName name="CheckB8501" localSheetId="20" hidden="1">OwnersEquity!$Y$9</definedName>
    <definedName name="CheckB8501" localSheetId="7" hidden="1">preCE!$Z$9</definedName>
    <definedName name="CheckB8599" localSheetId="16"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6" hidden="1">CE!$Z$36</definedName>
    <definedName name="CheckB8699" localSheetId="20" hidden="1">OwnersEquity!$Z$37</definedName>
    <definedName name="CheckB8699" localSheetId="7" hidden="1">preCE!$AA$40</definedName>
    <definedName name="CheckB8701" localSheetId="16" hidden="1">CE!$AA$9</definedName>
    <definedName name="CheckB8701" localSheetId="20" hidden="1">OwnersEquity!$AA$9</definedName>
    <definedName name="CheckB8701" localSheetId="7" hidden="1">preCE!$AB$9</definedName>
    <definedName name="CheckB8740" localSheetId="16" hidden="1">CE!$AA$15</definedName>
    <definedName name="CheckB8740" localSheetId="20" hidden="1">OwnersEquity!$AA$15</definedName>
    <definedName name="CheckB8740" localSheetId="7" hidden="1">preCE!$AB$18</definedName>
    <definedName name="CheckB8799" localSheetId="16" hidden="1">CE!$AA$36</definedName>
    <definedName name="CheckB8799" localSheetId="20" hidden="1">OwnersEquity!$AA$37</definedName>
    <definedName name="CheckB8799" localSheetId="7" hidden="1">preCE!$AB$40</definedName>
    <definedName name="CheckB8801" localSheetId="16" hidden="1">CE!$AB$9</definedName>
    <definedName name="CheckB8801" localSheetId="20" hidden="1">OwnersEquity!$AB$9</definedName>
    <definedName name="CheckB8801" localSheetId="7" hidden="1">preCE!$AC$9</definedName>
    <definedName name="CheckB8899" localSheetId="16"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7" hidden="1">preCE!$S$40</definedName>
    <definedName name="CheckB8c01" localSheetId="16" hidden="1">CE!$S$9</definedName>
    <definedName name="CheckB8c01" localSheetId="20" hidden="1">OwnersEquity!$S$9</definedName>
    <definedName name="CheckB8c01" localSheetId="7" hidden="1">preCE!$T$9</definedName>
    <definedName name="CheckB8c99" localSheetId="16" hidden="1">CE!$S$36</definedName>
    <definedName name="CheckB8c99" localSheetId="20" hidden="1">OwnersEquity!$S$37</definedName>
    <definedName name="CheckB8c99" localSheetId="7" hidden="1">preCE!$T$40</definedName>
    <definedName name="CheckB8d01" localSheetId="16" hidden="1">CE!$T$9</definedName>
    <definedName name="CheckB8d01" localSheetId="20" hidden="1">OwnersEquity!$T$9</definedName>
    <definedName name="CheckB8d01" localSheetId="7" hidden="1">preCE!$U$9</definedName>
    <definedName name="CheckB8d99" localSheetId="16" hidden="1">CE!$T$36</definedName>
    <definedName name="CheckB8d99" localSheetId="20" hidden="1">OwnersEquity!$T$37</definedName>
    <definedName name="CheckB8d99" localSheetId="7" hidden="1">preCE!$U$40</definedName>
    <definedName name="CheckB8g01" localSheetId="16" hidden="1">CE!$W$9</definedName>
    <definedName name="CheckB8g01" localSheetId="20" hidden="1">OwnersEquity!$W$9</definedName>
    <definedName name="CheckB8g01" localSheetId="7" hidden="1">preCE!$X$9</definedName>
    <definedName name="CheckB8g40" localSheetId="16" hidden="1">CE!$W$15</definedName>
    <definedName name="CheckB8g40" localSheetId="20" hidden="1">OwnersEquity!$W$15</definedName>
    <definedName name="CheckB8g40" localSheetId="7" hidden="1">preCE!$X$18</definedName>
    <definedName name="CheckB8g99" localSheetId="16" hidden="1">CE!$W$36</definedName>
    <definedName name="CheckB8g99" localSheetId="20" hidden="1">OwnersEquity!$W$37</definedName>
    <definedName name="CheckB8g99" localSheetId="7" hidden="1">preCE!$X$40</definedName>
    <definedName name="CheckB9120c" localSheetId="21" hidden="1">Notes!$N$5649</definedName>
    <definedName name="CheckB9120d" localSheetId="21" hidden="1">Notes!$N$5659</definedName>
    <definedName name="CheckB9120e" localSheetId="21" hidden="1">Notes!$N$5669</definedName>
    <definedName name="CheckB9120f" localSheetId="21" hidden="1">Notes!$N$5679</definedName>
    <definedName name="CheckB9120g" localSheetId="21" hidden="1">Notes!$N$5689</definedName>
    <definedName name="CheckB9120h" localSheetId="21" hidden="1">Notes!$N$5699</definedName>
    <definedName name="CheckB9120i" localSheetId="21" hidden="1">Notes!$N$5709</definedName>
    <definedName name="CheckB9120j" localSheetId="21" hidden="1">Notes!$N$5719</definedName>
    <definedName name="CheckB9120k" localSheetId="21" hidden="1">Notes!$N$5729</definedName>
    <definedName name="CheckB9120l" localSheetId="21" hidden="1">Notes!$N$5739</definedName>
    <definedName name="CheckB9120m" localSheetId="21" hidden="1">Notes!$N$5623</definedName>
    <definedName name="CheckB9120n" localSheetId="21" hidden="1">Notes!$N$5636</definedName>
    <definedName name="CheckB9120o" localSheetId="21" hidden="1">Notes!$N$5747</definedName>
    <definedName name="CheckB9120p" localSheetId="21" hidden="1">Notes!$N$5762</definedName>
    <definedName name="CheckB9314a" localSheetId="21" hidden="1">Notes!$N$5185</definedName>
    <definedName name="CheckB9325g" localSheetId="21" hidden="1">Notes!$N$5321</definedName>
    <definedName name="CheckB9325h" localSheetId="21" hidden="1">Notes!$N$5338</definedName>
    <definedName name="CheckB9325i" localSheetId="21" hidden="1">Notes!$N$5355</definedName>
    <definedName name="CheckB9325j" localSheetId="21" hidden="1">Notes!$N$5371</definedName>
    <definedName name="CheckB9325k" localSheetId="21" hidden="1">Notes!$N$5387</definedName>
    <definedName name="CheckB9325m" localSheetId="21" hidden="1">Notes!$N$5421</definedName>
    <definedName name="CheckB9331a" localSheetId="21" hidden="1">Notes!$N$5456</definedName>
    <definedName name="CheckB9331b" localSheetId="21" hidden="1">Notes!$N$5603</definedName>
    <definedName name="CheckB9331g" localSheetId="21" hidden="1">Notes!$N$5577</definedName>
    <definedName name="CheckB9331i" localSheetId="21" hidden="1">Notes!$N$5550</definedName>
    <definedName name="CheckB9331j" localSheetId="21" hidden="1">Notes!$N$5559</definedName>
    <definedName name="CheckB9331k" localSheetId="21" hidden="1">Notes!$N$5502</definedName>
    <definedName name="CheckB9367a" localSheetId="21" hidden="1">Notes!$N$5776</definedName>
    <definedName name="CheckB9367b" localSheetId="21" hidden="1">Notes!$N$5797</definedName>
    <definedName name="CheckB9371h" localSheetId="21" hidden="1">Notes!$N$5277</definedName>
    <definedName name="CheckB9371i" localSheetId="21" hidden="1">Notes!$N$5292</definedName>
    <definedName name="CheckB9371j" localSheetId="21" hidden="1">Notes!$N$5307</definedName>
    <definedName name="CheckB9601a" localSheetId="21" hidden="1">Notes!$N$5806</definedName>
    <definedName name="CheckB9601b" localSheetId="21" hidden="1">Notes!$N$5848</definedName>
    <definedName name="CheckB9601c" localSheetId="21" hidden="1">Notes!$N$5838</definedName>
    <definedName name="CheckB9601d" localSheetId="21" hidden="1">Notes!$N$5858</definedName>
    <definedName name="CheckB9690a" localSheetId="21" hidden="1">Notes!$N$4986</definedName>
    <definedName name="CheckB9690b" localSheetId="21" hidden="1">Notes!$N$5000</definedName>
    <definedName name="CheckB9690c" localSheetId="21" hidden="1">Notes!$N$5010</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Notes!$E$5211:$J$5275</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Notes!$E$5197:$I$5208</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Notes!$E$4851:$I$4862</definedName>
    <definedName name="NOTE_6101b" localSheetId="21" hidden="1">Notes!$E$4838:$I$4849</definedName>
    <definedName name="NOTE_6102a" localSheetId="21" hidden="1">Notes!$E$4824:$I$4835</definedName>
    <definedName name="NOTE_6111a" localSheetId="21" hidden="1">Notes!$E$4802:$I$4821</definedName>
    <definedName name="NOTE_6171a" localSheetId="21" hidden="1">Notes!$E$4901:$I$4913</definedName>
    <definedName name="NOTE_6181a" localSheetId="21" hidden="1">Notes!$E$4777:$J$4791</definedName>
    <definedName name="NOTE_6181aCHKH01" localSheetId="21" hidden="1">Notes!$G$4792:$K$4799</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Notes!$E$4879:$I$4898</definedName>
    <definedName name="NOTE_6672a" localSheetId="21" hidden="1">Notes!$E$4865:$I$4876</definedName>
    <definedName name="NOTE_6710a" localSheetId="21" hidden="1">Notes!$E$4916:$J$4927</definedName>
    <definedName name="NOTE_6710b" localSheetId="21" hidden="1">Notes!$E$4929:$J$4937</definedName>
    <definedName name="NOTE_6710bCHKH01" localSheetId="21" hidden="1">Notes!$G$4938:$K$4944</definedName>
    <definedName name="NOTE_6711a" localSheetId="21" hidden="1">Notes!$E$4947:$J$4957</definedName>
    <definedName name="NOTE_6791a" localSheetId="21" hidden="1">Notes!$E$4960:$I$4966</definedName>
    <definedName name="NOTE_6791b" localSheetId="21" hidden="1">Notes!$E$4968:$I$4984</definedName>
    <definedName name="NOTE_7001x" localSheetId="21" hidden="1">Notes!$E$5871:$J$5879</definedName>
    <definedName name="NOTE_7046a" localSheetId="21" hidden="1">Notes!$E$5023:$I$5036</definedName>
    <definedName name="NOTE_7046x" localSheetId="21" hidden="1">Notes!$E$5882:$J$5890</definedName>
    <definedName name="NOTE_7051x" localSheetId="21" hidden="1">Notes!$E$5893:$J$5901</definedName>
    <definedName name="NOTE_7061x" localSheetId="21" hidden="1">Notes!$E$5904:$J$5912</definedName>
    <definedName name="NOTE_7071x" localSheetId="21" hidden="1">Notes!$E$5915:$J$5923</definedName>
    <definedName name="NOTE_7096a" localSheetId="21" hidden="1">Notes!$E$5039:$I$5052</definedName>
    <definedName name="NOTE_7096x" localSheetId="21" hidden="1">Notes!$E$5926:$J$5934</definedName>
    <definedName name="NOTE_7101x" localSheetId="21" hidden="1">Notes!$E$5937:$J$5945</definedName>
    <definedName name="NOTE_7105x" localSheetId="21" hidden="1">Notes!$E$5948:$J$5956</definedName>
    <definedName name="NOTE_7111x" localSheetId="21" hidden="1">Notes!$E$5959:$J$5975</definedName>
    <definedName name="NOTE_7146a" localSheetId="21" hidden="1">Notes!$E$5055:$I$5063</definedName>
    <definedName name="NOTE_7151x" localSheetId="21" hidden="1">Notes!$E$5978:$J$5996</definedName>
    <definedName name="NOTE_7161x" localSheetId="21" hidden="1">Notes!$E$5999:$J$6007</definedName>
    <definedName name="NOTE_7196a" localSheetId="21" hidden="1">Notes!$E$5066:$I$5074</definedName>
    <definedName name="NOTE_7211x" localSheetId="21" hidden="1">Notes!$E$6010:$J$6019</definedName>
    <definedName name="NOTE_7246a" localSheetId="21" hidden="1">Notes!$E$5077:$I$5085</definedName>
    <definedName name="NOTE_7251x" localSheetId="21" hidden="1">Notes!$E$6022:$J$6031</definedName>
    <definedName name="NOTE_7261x" localSheetId="21" hidden="1">Notes!$E$6034:$J$6053</definedName>
    <definedName name="NOTE_7296a" localSheetId="21" hidden="1">Notes!$E$5088:$I$5096</definedName>
    <definedName name="NOTE_7400a" localSheetId="21" hidden="1">Notes!$E$5020:$I$5020</definedName>
    <definedName name="NOTE_7500a" localSheetId="21" hidden="1">Notes!$E$5099:$I$5120</definedName>
    <definedName name="NOTE_7500b" localSheetId="21" hidden="1">Notes!$E$5122:$I$5128</definedName>
    <definedName name="NOTE_7500c" localSheetId="21" hidden="1">Notes!$E$5130:$I$5137</definedName>
    <definedName name="NOTE_7500e" localSheetId="21" hidden="1">Notes!$E$5159:$I$5173</definedName>
    <definedName name="NOTE_7500f" localSheetId="21" hidden="1">Notes!$E$5175:$H$5183</definedName>
    <definedName name="NOTE_7500g" localSheetId="21" hidden="1">Notes!$E$5139:$H$5147</definedName>
    <definedName name="NOTE_7500h" localSheetId="21" hidden="1">Notes!$E$5149:$H$5157</definedName>
    <definedName name="NOTE_7503a" localSheetId="21" hidden="1">Notes!$E$6057:$I$6063</definedName>
    <definedName name="NOTE_7505a" localSheetId="21" hidden="1">Notes!$E$6066:$I$6074</definedName>
    <definedName name="NOTE_7506a" localSheetId="21" hidden="1">Notes!$E$6077:$I$6083</definedName>
    <definedName name="NOTE_7507a" localSheetId="21" hidden="1">Notes!$E$6086:$I$6092</definedName>
    <definedName name="NOTE_7508a" localSheetId="21" hidden="1">Notes!$E$6095:$I$6106</definedName>
    <definedName name="NOTE_7509a" localSheetId="21" hidden="1">Notes!$E$6109:$I$6116</definedName>
    <definedName name="NOTE_7510a" localSheetId="21" hidden="1">Notes!$E$6119:$I$6125</definedName>
    <definedName name="NOTE_7511a" localSheetId="21" hidden="1">Notes!$E$6128:$I$6136</definedName>
    <definedName name="NOTE_7512a" localSheetId="21" hidden="1">Notes!$E$6139:$I$6145</definedName>
    <definedName name="NOTE_7515a" localSheetId="21" hidden="1">Notes!$E$6148:$K$6154</definedName>
    <definedName name="NOTE_7516a" localSheetId="21" hidden="1">Notes!$E$6157:$K$6163</definedName>
    <definedName name="NOTE_7517a" localSheetId="21" hidden="1">Notes!$E$6166:$K$6185</definedName>
    <definedName name="NOTE_7518a" localSheetId="21" hidden="1">Notes!$E$6188:$K$6212</definedName>
    <definedName name="NOTE_7519a" localSheetId="21" hidden="1">Notes!$E$6215:$K$6241</definedName>
    <definedName name="NOTE_7523a" localSheetId="21" hidden="1">Notes!$E$6244:$I$6250</definedName>
    <definedName name="NOTE_9120c" localSheetId="21" hidden="1">Notes!$E$5650:$M$5658</definedName>
    <definedName name="NOTE_9120d" localSheetId="21" hidden="1">Notes!$E$5660:$M$5668</definedName>
    <definedName name="NOTE_9120e" localSheetId="21" hidden="1">Notes!$E$5670:$J$5678</definedName>
    <definedName name="NOTE_9120f" localSheetId="21" hidden="1">Notes!$E$5680:$J$5688</definedName>
    <definedName name="NOTE_9120g" localSheetId="21" hidden="1">Notes!$E$5690:$K$5698</definedName>
    <definedName name="NOTE_9120h" localSheetId="21" hidden="1">Notes!$E$5700:$K$5708</definedName>
    <definedName name="NOTE_9120i" localSheetId="21" hidden="1">Notes!$E$5710:$K$5718</definedName>
    <definedName name="NOTE_9120j" localSheetId="21" hidden="1">Notes!$E$5720:$K$5728</definedName>
    <definedName name="NOTE_9120k" localSheetId="21" hidden="1">Notes!$E$5730:$J$5738</definedName>
    <definedName name="NOTE_9120l" localSheetId="21" hidden="1">Notes!$E$5740:$I$5746</definedName>
    <definedName name="NOTE_9120m" localSheetId="21" hidden="1">Notes!$E$5624:$J$5635</definedName>
    <definedName name="NOTE_9120n" localSheetId="21" hidden="1">Notes!$E$5637:$J$5648</definedName>
    <definedName name="NOTE_9120o" localSheetId="21" hidden="1">Notes!$E$5748:$L$5761</definedName>
    <definedName name="NOTE_9120p" localSheetId="21" hidden="1">Notes!$E$5763:$J$5774</definedName>
    <definedName name="NOTE_9314a" localSheetId="21" hidden="1">Notes!$E$5186:$I$5194</definedName>
    <definedName name="NOTE_9325g" localSheetId="21" hidden="1">Notes!$E$5322:$L$5337</definedName>
    <definedName name="NOTE_9325h" localSheetId="21" hidden="1">Notes!$E$5339:$L$5354</definedName>
    <definedName name="NOTE_9325i" localSheetId="21" hidden="1">Notes!$E$5356:$M$5370</definedName>
    <definedName name="NOTE_9325j" localSheetId="21" hidden="1">Notes!$E$5372:$M$5386</definedName>
    <definedName name="NOTE_9325k" localSheetId="21" hidden="1">Notes!$E$5388:$J$5420</definedName>
    <definedName name="NOTE_9325m" localSheetId="21" hidden="1">Notes!$E$5422:$J$5454</definedName>
    <definedName name="NOTE_9331a" localSheetId="21" hidden="1">Notes!$E$5457:$K$5501</definedName>
    <definedName name="NOTE_9331b" localSheetId="21" hidden="1">Notes!$E$5604:$K$5621</definedName>
    <definedName name="NOTE_9331g" localSheetId="21" hidden="1">Notes!$E$5578:$R$5602</definedName>
    <definedName name="NOTE_9331i" localSheetId="21" hidden="1">Notes!$E$5551:$J$5558</definedName>
    <definedName name="NOTE_9331j" localSheetId="21" hidden="1">Notes!$E$5560:$K$5576</definedName>
    <definedName name="NOTE_9331k" localSheetId="21" hidden="1">Notes!$E$5503:$K$5549</definedName>
    <definedName name="NOTE_9367a" localSheetId="21" hidden="1">Notes!$E$5777:$I$5796</definedName>
    <definedName name="NOTE_9367b" localSheetId="21" hidden="1">Notes!$E$5798:$M$5804</definedName>
    <definedName name="NOTE_9371h" localSheetId="21" hidden="1">Notes!$E$5278:$L$5291</definedName>
    <definedName name="NOTE_9371i" localSheetId="21" hidden="1">Notes!$E$5293:$L$5306</definedName>
    <definedName name="NOTE_9371j" localSheetId="21" hidden="1">Notes!$E$5308:$I$5319</definedName>
    <definedName name="NOTE_9601a" localSheetId="21" hidden="1">Notes!$E$5807:$J$5837</definedName>
    <definedName name="NOTE_9601b" localSheetId="21" hidden="1">Notes!$E$5849:$I$5857</definedName>
    <definedName name="NOTE_9601c" localSheetId="21" hidden="1">Notes!$E$5839:$I$5847</definedName>
    <definedName name="NOTE_9601d" localSheetId="21" hidden="1">Notes!$E$5859:$I$5867</definedName>
    <definedName name="NOTE_9690a" localSheetId="21" hidden="1">Notes!$E$4987:$I$4999</definedName>
    <definedName name="NOTE_9690b" localSheetId="21" hidden="1">Notes!$E$5001:$Q$5009</definedName>
    <definedName name="NOTE_9690c" localSheetId="21" hidden="1">Notes!$E$5011:$O$5019</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3"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 hidden="1">"A:C"</definedName>
    <definedName name="Parameter_ColsHide" localSheetId="21" hidden="1">"A:E"</definedName>
    <definedName name="Parameter_ColsHide" localSheetId="20">"A:B"</definedName>
    <definedName name="Parameter_ColsHide" localSheetId="4" hidden="1">"A:C,H:H"</definedName>
    <definedName name="Parameter_ColsHide" localSheetId="7" hidden="1">"A:B"</definedName>
    <definedName name="Parameter_ColsHide" localSheetId="6" hidden="1">"A:B"</definedName>
    <definedName name="Parameter_ColsHide" localSheetId="5"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 hidden="1">"1:1,7:7"</definedName>
    <definedName name="Parameter_RowsHide" localSheetId="21" hidden="1">"1:1"</definedName>
    <definedName name="Parameter_RowsHide" localSheetId="20">"1:2"</definedName>
    <definedName name="Parameter_RowsHide" localSheetId="4" hidden="1">"1:1,6:7"</definedName>
    <definedName name="Parameter_RowsHide" localSheetId="7" hidden="1">"1:2"</definedName>
    <definedName name="Parameter_RowsHide" localSheetId="6" hidden="1">"1:1,6:7"</definedName>
    <definedName name="Parameter_RowsHide" localSheetId="5"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2" hidden="1">"-1"</definedName>
    <definedName name="Parameter_TableCli" localSheetId="23" hidden="1">"-1"</definedName>
    <definedName name="Parameter_TableCli" localSheetId="3" hidden="1">"1"</definedName>
    <definedName name="Parameter_TableCli" localSheetId="18" hidden="1">"1"</definedName>
    <definedName name="Parameter_TableCli" localSheetId="14" hidden="1">"1"</definedName>
    <definedName name="Parameter_TableCli" localSheetId="1" hidden="1">"-1"</definedName>
    <definedName name="Parameter_TableCli" localSheetId="2" hidden="1">"1"</definedName>
    <definedName name="Parameter_TableCli" localSheetId="21" hidden="1">"1"</definedName>
    <definedName name="Parameter_TableCli" localSheetId="20">"1"</definedName>
    <definedName name="Parameter_TableCli" localSheetId="4" hidden="1">"1"</definedName>
    <definedName name="Parameter_TableCli" localSheetId="7" hidden="1">"1"</definedName>
    <definedName name="Parameter_TableCli" localSheetId="6" hidden="1">"1"</definedName>
    <definedName name="Parameter_TableCli" localSheetId="5" hidden="1">"1"</definedName>
    <definedName name="Parameter_TableCli" localSheetId="8" hidden="1">"1"</definedName>
    <definedName name="Parameter_TableCli" localSheetId="11"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2" hidden="1">"IND"</definedName>
    <definedName name="Parameter_TableCon" localSheetId="23" hidden="1">"IND"</definedName>
    <definedName name="Parameter_TableCon" localSheetId="3"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 hidden="1">"GEN"</definedName>
    <definedName name="Parameter_TableCon" localSheetId="21" hidden="1">"IND"</definedName>
    <definedName name="Parameter_TableCon" localSheetId="20">"IND"</definedName>
    <definedName name="Parameter_TableCon" localSheetId="4" hidden="1">"IND"</definedName>
    <definedName name="Parameter_TableCon" localSheetId="7" hidden="1">"IND"</definedName>
    <definedName name="Parameter_TableCon" localSheetId="6" hidden="1">"IND"</definedName>
    <definedName name="Parameter_TableCon" localSheetId="5" hidden="1">"IND"</definedName>
    <definedName name="Parameter_TableCon" localSheetId="8" hidden="1">"IND"</definedName>
    <definedName name="Parameter_TableCon" localSheetId="11"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3">"2:6"</definedName>
    <definedName name="Parameter_TableHeaders" localSheetId="18" hidden="1">"2:5"</definedName>
    <definedName name="Parameter_TableHeaders" localSheetId="14" hidden="1">"2:5"</definedName>
    <definedName name="Parameter_TableHeaders" localSheetId="2" hidden="1">"2:6"</definedName>
    <definedName name="Parameter_TableHeaders" localSheetId="21" hidden="1">"2:6"</definedName>
    <definedName name="Parameter_TableHeaders" localSheetId="20">"3:5"</definedName>
    <definedName name="Parameter_TableHeaders" localSheetId="4" hidden="1">"2:5"</definedName>
    <definedName name="Parameter_TableHeaders" localSheetId="7" hidden="1">"3:5"</definedName>
    <definedName name="Parameter_TableHeaders" localSheetId="6" hidden="1">"2:5"</definedName>
    <definedName name="Parameter_TableHeaders" localSheetId="5" hidden="1">"2:5"</definedName>
    <definedName name="Parameter_TableHeaders" localSheetId="8"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2" hidden="1">"WP"</definedName>
    <definedName name="Parameter_TableName" localSheetId="23" hidden="1">"WP"</definedName>
    <definedName name="Parameter_TableName" localSheetId="3"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 hidden="1">"OT"</definedName>
    <definedName name="Parameter_TableName" localSheetId="21" hidden="1">"NO"</definedName>
    <definedName name="Parameter_TableName" localSheetId="20">"CE"</definedName>
    <definedName name="Parameter_TableName" localSheetId="4" hidden="1">"BS"</definedName>
    <definedName name="Parameter_TableName" localSheetId="7" hidden="1">"CE"</definedName>
    <definedName name="Parameter_TableName" localSheetId="6" hidden="1">"CF"</definedName>
    <definedName name="Parameter_TableName" localSheetId="5" hidden="1">"IS"</definedName>
    <definedName name="Parameter_TableName" localSheetId="8" hidden="1">"TB"</definedName>
    <definedName name="Parameter_TableName" localSheetId="11"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2" hidden="1">"-1"</definedName>
    <definedName name="Parameter_TableRep" localSheetId="23" hidden="1">"-1"</definedName>
    <definedName name="Parameter_TableRep" localSheetId="3" hidden="1">"-1"</definedName>
    <definedName name="Parameter_TableRep" localSheetId="18" hidden="1">"2"</definedName>
    <definedName name="Parameter_TableRep" localSheetId="14" hidden="1">"2"</definedName>
    <definedName name="Parameter_TableRep" localSheetId="1" hidden="1">"-1"</definedName>
    <definedName name="Parameter_TableRep" localSheetId="2" hidden="1">"-1"</definedName>
    <definedName name="Parameter_TableRep" localSheetId="21" hidden="1">"-1"</definedName>
    <definedName name="Parameter_TableRep" localSheetId="20">"4"</definedName>
    <definedName name="Parameter_TableRep" localSheetId="4" hidden="1">"-1"</definedName>
    <definedName name="Parameter_TableRep" localSheetId="7" hidden="1">"-1"</definedName>
    <definedName name="Parameter_TableRep" localSheetId="6" hidden="1">"-1"</definedName>
    <definedName name="Parameter_TableRep" localSheetId="5" hidden="1">"-1"</definedName>
    <definedName name="Parameter_TableRep" localSheetId="8" hidden="1">"-1"</definedName>
    <definedName name="Parameter_TableRep" localSheetId="11"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2" hidden="1">"A11.03GEN"</definedName>
    <definedName name="Parameter_TableTem" localSheetId="23" hidden="1">"A11.03GEN"</definedName>
    <definedName name="Parameter_TableTem" localSheetId="3"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 hidden="1">"A11.03GEN"</definedName>
    <definedName name="Parameter_TableTem" localSheetId="21" hidden="1">"A11.03GEN"</definedName>
    <definedName name="Parameter_TableTem" localSheetId="20">"A11.03GEN"</definedName>
    <definedName name="Parameter_TableTem" localSheetId="4" hidden="1">"A11.03GEN"</definedName>
    <definedName name="Parameter_TableTem" localSheetId="7" hidden="1">"A11.03GEN"</definedName>
    <definedName name="Parameter_TableTem" localSheetId="6" hidden="1">"A11.03GEN"</definedName>
    <definedName name="Parameter_TableTem" localSheetId="5" hidden="1">"A11.03GEN"</definedName>
    <definedName name="Parameter_TableTem" localSheetId="8" hidden="1">"A11.03GEN"</definedName>
    <definedName name="Parameter_TableTem" localSheetId="11"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2" hidden="1">"WPERE211.1225"</definedName>
    <definedName name="Parameter_TableVersion" localSheetId="23" hidden="1">"WPERE211.1225"</definedName>
    <definedName name="Parameter_TableVersion" localSheetId="3"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20">"WPERE211.1225"</definedName>
    <definedName name="Parameter_TableVersion" localSheetId="4" hidden="1">"WPERE211.1225"</definedName>
    <definedName name="Parameter_TableVersion" localSheetId="7" hidden="1">"WPERE211.1225"</definedName>
    <definedName name="Parameter_TableVersion" localSheetId="6" hidden="1">"WPERE211.1225"</definedName>
    <definedName name="Parameter_TableVersion" localSheetId="5" hidden="1">"WPERE211.1225"</definedName>
    <definedName name="Parameter_TableVersion" localSheetId="24" hidden="1">"WPERE211.1225"</definedName>
    <definedName name="Parameter_TableVersion" localSheetId="0" hidden="1">"WPERE211.1225"</definedName>
    <definedName name="Parameter_TableVersion" localSheetId="8" hidden="1">"WPERE211.1225"</definedName>
    <definedName name="Parameter_TableVersion" localSheetId="25" hidden="1">"WPERE211.1225"</definedName>
    <definedName name="Parameter_TableVersion" localSheetId="11"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2">CFWP1!$B$2:$J$113</definedName>
    <definedName name="_xlnm.Print_Area" localSheetId="23">CFWP2!$B$2:$I$196</definedName>
    <definedName name="_xlnm.Print_Area" localSheetId="3">Checks!$B$2:$N$85</definedName>
    <definedName name="_xlnm.Print_Area" localSheetId="18">IncomeStatement!$C$2:$F$70</definedName>
    <definedName name="_xlnm.Print_Area" localSheetId="14">IS!$C$2:$F$57</definedName>
    <definedName name="_xlnm.Print_Area" localSheetId="1">Lead!$B$3:$K$59</definedName>
    <definedName name="_xlnm.Print_Area" localSheetId="2">noteChecks!$D$2:$N$409</definedName>
    <definedName name="_xlnm.Print_Area" localSheetId="21">Notes!$G$2:$R$6251</definedName>
    <definedName name="_xlnm.Print_Area" localSheetId="20">OwnersEquity!$C$3:$AC$38</definedName>
    <definedName name="_xlnm.Print_Area" localSheetId="4">preBS!$D$2:$L$69</definedName>
    <definedName name="_xlnm.Print_Area" localSheetId="7">preCE!$C$3:$AE$41</definedName>
    <definedName name="_xlnm.Print_Area" localSheetId="6">preCF!$C$2:$F$66</definedName>
    <definedName name="_xlnm.Print_Area" localSheetId="5">preIS!$C$2:$F$81</definedName>
    <definedName name="_xlnm.Print_Area" localSheetId="8">TB!$E$2:$M$764</definedName>
    <definedName name="_xlnm.Print_Area" localSheetId="11">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2">CFWP1!$2:$6</definedName>
    <definedName name="_xlnm.Print_Titles" localSheetId="23">CFWP2!$2:$6</definedName>
    <definedName name="_xlnm.Print_Titles" localSheetId="3">Checks!$2:$8</definedName>
    <definedName name="_xlnm.Print_Titles" localSheetId="2">noteChecks!$2:$8</definedName>
    <definedName name="_xlnm.Print_Titles" localSheetId="21">Notes!$2:$6</definedName>
    <definedName name="_xlnm.Print_Titles" localSheetId="20">OwnersEquity!$C:$C</definedName>
    <definedName name="_xlnm.Print_Titles" localSheetId="8">TB!$2:$8</definedName>
    <definedName name="_xlnm.Print_Titles" localSheetId="11">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1" hidden="1">Notes!$G$6253:$G$6257</definedName>
    <definedName name="Sheet_Check1" localSheetId="20" hidden="1">OwnersEquity!$C$42:$C$46</definedName>
    <definedName name="Sheet_Check1" localSheetId="4" hidden="1">preBS!$D$90:$D$97</definedName>
    <definedName name="Sheet_Check1" localSheetId="7" hidden="1">preCE!$C$45:$C$57</definedName>
    <definedName name="Sheet_Check1" localSheetId="6" hidden="1">preCF!$C$100:$C$129</definedName>
    <definedName name="Sheet_Check1" localSheetId="5"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1" hidden="1">Notes!$H$8</definedName>
    <definedName name="Sheet_Freeze1" localSheetId="20" hidden="1">OwnersEquity!$D$9</definedName>
    <definedName name="Sheet_Freeze1" localSheetId="4" hidden="1">preBS!$E$9</definedName>
    <definedName name="Sheet_Freeze1" localSheetId="7" hidden="1">preCE!$D$9</definedName>
    <definedName name="Sheet_Freeze1" localSheetId="6" hidden="1">preCF!$D$9</definedName>
    <definedName name="Sheet_Freeze1" localSheetId="5" hidden="1">preIS!$D$9</definedName>
    <definedName name="Sheet_Freeze1" localSheetId="8" hidden="1">TB!$F$9</definedName>
    <definedName name="Sheet_Freeze1" localSheetId="11" hidden="1">UJE!$L$9</definedName>
    <definedName name="Sheet_FsCheckList" hidden="1">STATPARA!$AS$1:$BD$120</definedName>
    <definedName name="Sheet_FsChecks" localSheetId="3"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E44" i="21" l="1"/>
  <c r="H4779" i="18"/>
  <c r="D4779" i="18" l="1"/>
  <c r="D4780" i="18"/>
  <c r="D4781" i="18"/>
  <c r="D4782" i="18"/>
  <c r="D4783" i="18"/>
  <c r="D4785" i="18"/>
  <c r="D4786" i="18"/>
  <c r="D4787" i="18"/>
  <c r="D4788" i="18"/>
  <c r="D4789" i="18"/>
  <c r="D4790" i="18"/>
  <c r="K4521" i="18"/>
  <c r="J4521" i="18"/>
  <c r="I4521" i="18"/>
  <c r="H4521" i="18"/>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38" i="21" l="1"/>
  <c r="D9" i="2"/>
  <c r="R9" i="2"/>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W37" i="2"/>
  <c r="X37" i="2"/>
  <c r="Y37" i="2"/>
  <c r="Z37" i="2"/>
  <c r="AA37" i="2"/>
  <c r="AB37" i="2"/>
  <c r="AC37" i="2"/>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0" i="2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8" i="7"/>
  <c r="L29"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9" i="7"/>
  <c r="G51" i="7"/>
  <c r="G52" i="7"/>
  <c r="G53" i="7"/>
  <c r="G54" i="7"/>
  <c r="G55" i="7"/>
  <c r="G56" i="7"/>
  <c r="G57" i="7"/>
  <c r="G58" i="7"/>
  <c r="G59" i="7"/>
  <c r="G60" i="7"/>
  <c r="G61" i="7"/>
  <c r="G62" i="7"/>
  <c r="G63" i="7"/>
  <c r="G64" i="7"/>
  <c r="G65" i="7"/>
  <c r="G66" i="7"/>
  <c r="H20" i="50"/>
  <c r="H33" i="50"/>
  <c r="L88" i="50"/>
  <c r="H211" i="50"/>
  <c r="H50" i="50"/>
  <c r="G15" i="46"/>
  <c r="L36" i="46"/>
  <c r="L32" i="46"/>
  <c r="L398" i="50"/>
  <c r="H294" i="50"/>
  <c r="L211" i="50"/>
  <c r="H306" i="50"/>
  <c r="L379" i="50"/>
  <c r="L45" i="50"/>
  <c r="H74" i="50"/>
  <c r="H188" i="50"/>
  <c r="H27" i="50"/>
  <c r="L196" i="50"/>
  <c r="L92" i="50"/>
  <c r="H225" i="50"/>
  <c r="H345" i="50"/>
  <c r="L244" i="50"/>
  <c r="L62" i="50"/>
  <c r="H55" i="50"/>
  <c r="H356" i="50"/>
  <c r="L188" i="50"/>
  <c r="H84" i="50"/>
  <c r="H386" i="50"/>
  <c r="L225" i="50"/>
  <c r="H220" i="50"/>
  <c r="L300" i="50"/>
  <c r="L46" i="50"/>
  <c r="H366" i="50"/>
  <c r="L34" i="46"/>
  <c r="H173" i="50"/>
  <c r="H190" i="50"/>
  <c r="G19" i="46"/>
  <c r="H123" i="50"/>
  <c r="L306" i="50"/>
  <c r="H365" i="50"/>
  <c r="H137" i="50"/>
  <c r="L308" i="50"/>
  <c r="L178" i="50"/>
  <c r="H338" i="50"/>
  <c r="L99" i="50"/>
  <c r="H43" i="50"/>
  <c r="H328" i="50"/>
  <c r="H375" i="50"/>
  <c r="H382" i="50"/>
  <c r="H49" i="50"/>
  <c r="H303" i="50"/>
  <c r="H31" i="50"/>
  <c r="H335" i="50"/>
  <c r="H292" i="50"/>
  <c r="H178" i="50"/>
  <c r="H362" i="50"/>
  <c r="G32" i="46"/>
  <c r="H132" i="50"/>
  <c r="H193" i="50"/>
  <c r="H77" i="50"/>
  <c r="H336" i="50"/>
  <c r="L157" i="50"/>
  <c r="L90" i="50"/>
  <c r="L36" i="50"/>
  <c r="L212" i="50"/>
  <c r="H79" i="50"/>
  <c r="H114" i="50"/>
  <c r="H100" i="50"/>
  <c r="H90" i="50"/>
  <c r="H254" i="50"/>
  <c r="H198" i="50"/>
  <c r="G30" i="46"/>
  <c r="L35" i="46"/>
  <c r="L16" i="46"/>
  <c r="L154" i="50"/>
  <c r="L376" i="50"/>
  <c r="H271" i="50"/>
  <c r="H164" i="50"/>
  <c r="H93" i="50"/>
  <c r="H76" i="50"/>
  <c r="H244" i="50"/>
  <c r="L27" i="46"/>
  <c r="G36" i="46"/>
  <c r="L130" i="50"/>
  <c r="H99" i="50"/>
  <c r="H363" i="50"/>
  <c r="H209" i="50"/>
  <c r="H299" i="50"/>
  <c r="L201" i="50"/>
  <c r="L85" i="50"/>
  <c r="L286" i="50"/>
  <c r="H38" i="50"/>
  <c r="L228" i="50"/>
  <c r="H16" i="50"/>
  <c r="L235" i="50"/>
  <c r="L27" i="50"/>
  <c r="G42" i="46"/>
  <c r="L22" i="50"/>
  <c r="H44" i="50"/>
  <c r="L292" i="50"/>
  <c r="H154" i="50"/>
  <c r="H235" i="50"/>
  <c r="H341" i="50"/>
  <c r="L197" i="50"/>
  <c r="H133" i="50"/>
  <c r="H368" i="50"/>
  <c r="H237" i="50"/>
  <c r="H70" i="50"/>
  <c r="H213" i="50"/>
  <c r="H361" i="50"/>
  <c r="H53" i="50"/>
  <c r="H59" i="50"/>
  <c r="L33" i="46"/>
  <c r="H376" i="50"/>
  <c r="H46" i="50"/>
  <c r="L401" i="50"/>
  <c r="L56" i="50"/>
  <c r="H72" i="50"/>
  <c r="L213" i="50"/>
  <c r="H39" i="50"/>
  <c r="H96" i="50"/>
  <c r="L141" i="50"/>
  <c r="H398" i="50"/>
  <c r="H143" i="50"/>
  <c r="H149" i="50"/>
  <c r="L289" i="50"/>
  <c r="L117" i="50"/>
  <c r="L10" i="50"/>
  <c r="H282" i="50"/>
  <c r="L23" i="50"/>
  <c r="H176" i="50"/>
  <c r="H337" i="50"/>
  <c r="H97" i="50"/>
  <c r="H138" i="50"/>
  <c r="H252" i="50"/>
  <c r="H152" i="50"/>
  <c r="H155" i="50"/>
  <c r="H342" i="50"/>
  <c r="H259" i="50"/>
  <c r="L310" i="50"/>
  <c r="H330" i="50"/>
  <c r="H18" i="50"/>
  <c r="H201" i="50"/>
  <c r="L193" i="50"/>
  <c r="H62" i="50"/>
  <c r="H377" i="50"/>
  <c r="L87" i="50"/>
  <c r="L72" i="50"/>
  <c r="H57" i="50"/>
  <c r="L254" i="50"/>
  <c r="L148" i="50"/>
  <c r="L187" i="50"/>
  <c r="H380" i="50"/>
  <c r="L218" i="50"/>
  <c r="L131" i="50"/>
  <c r="H383" i="50"/>
  <c r="L303" i="50"/>
  <c r="L200" i="50"/>
  <c r="H360" i="50"/>
  <c r="H285" i="50"/>
  <c r="H153" i="50"/>
  <c r="H117" i="50"/>
  <c r="H73" i="50"/>
  <c r="L35" i="50"/>
  <c r="L378" i="50"/>
  <c r="H24" i="50"/>
  <c r="H40" i="50"/>
  <c r="H160" i="50"/>
  <c r="L299" i="50"/>
  <c r="H195" i="50"/>
  <c r="H200" i="50"/>
  <c r="H340" i="50"/>
  <c r="L84" i="50"/>
  <c r="H85" i="50"/>
  <c r="H208" i="50"/>
  <c r="L282" i="50"/>
  <c r="H80" i="50"/>
  <c r="H10" i="50"/>
  <c r="L37" i="46"/>
  <c r="L150" i="50"/>
  <c r="L76" i="50"/>
  <c r="L116" i="50"/>
  <c r="H26" i="50"/>
  <c r="H25" i="50"/>
  <c r="H184" i="50"/>
  <c r="L195" i="50"/>
  <c r="L284" i="50"/>
  <c r="L37" i="50"/>
  <c r="L198" i="50"/>
  <c r="H266" i="50"/>
  <c r="H21" i="50"/>
  <c r="L15" i="46"/>
  <c r="H32" i="50"/>
  <c r="L265" i="50"/>
  <c r="H82" i="50"/>
  <c r="H134" i="50"/>
  <c r="L31" i="46"/>
  <c r="H258" i="50"/>
  <c r="H249" i="50"/>
  <c r="H378" i="50"/>
  <c r="H197" i="50"/>
  <c r="H374" i="50"/>
  <c r="H207" i="50"/>
  <c r="H51" i="50"/>
  <c r="L156" i="50"/>
  <c r="H78" i="50"/>
  <c r="H22" i="50"/>
  <c r="G18" i="46"/>
  <c r="L112" i="50"/>
  <c r="H247" i="50"/>
  <c r="G28" i="46"/>
  <c r="H30" i="50"/>
  <c r="L163" i="50"/>
  <c r="G22" i="46"/>
  <c r="L114" i="50"/>
  <c r="H54" i="50"/>
  <c r="G58" i="46"/>
  <c r="L164" i="50"/>
  <c r="H196" i="50"/>
  <c r="L61" i="50"/>
  <c r="H264" i="50"/>
  <c r="L252" i="50"/>
  <c r="H300" i="50"/>
  <c r="L28" i="46"/>
  <c r="H246" i="50"/>
  <c r="H367" i="50"/>
  <c r="L30" i="46"/>
  <c r="G24" i="46"/>
  <c r="H124" i="50"/>
  <c r="H42" i="50"/>
  <c r="H401" i="50"/>
  <c r="H122" i="50"/>
  <c r="L26" i="46"/>
  <c r="G20" i="46"/>
  <c r="H98" i="50"/>
  <c r="L118" i="50"/>
  <c r="H228" i="50"/>
  <c r="L173" i="50"/>
  <c r="H91" i="50"/>
  <c r="H60" i="50"/>
  <c r="H357" i="50"/>
  <c r="H261" i="50"/>
  <c r="H141" i="50"/>
  <c r="L253" i="50"/>
  <c r="H45" i="50"/>
  <c r="H269" i="50"/>
  <c r="L165" i="50"/>
  <c r="H343" i="50"/>
  <c r="H61" i="50"/>
  <c r="H344" i="50"/>
  <c r="L237" i="50"/>
  <c r="L266" i="50"/>
  <c r="H135" i="50"/>
  <c r="H147" i="50"/>
  <c r="L374" i="50"/>
  <c r="H310" i="50"/>
  <c r="H75" i="50"/>
  <c r="H131" i="50"/>
  <c r="H379" i="50"/>
  <c r="H48" i="50"/>
  <c r="H260" i="50"/>
  <c r="H172" i="50"/>
  <c r="L51" i="50"/>
  <c r="H253" i="50"/>
  <c r="L100" i="50"/>
  <c r="H83" i="50"/>
  <c r="L60" i="50"/>
  <c r="H92" i="50"/>
  <c r="H354" i="50"/>
  <c r="L29" i="46"/>
  <c r="L39" i="46"/>
  <c r="H230" i="50"/>
  <c r="L304" i="50"/>
  <c r="H223" i="50"/>
  <c r="H346" i="50"/>
  <c r="H156" i="50"/>
  <c r="L375" i="50"/>
  <c r="H359" i="50"/>
  <c r="H52" i="50"/>
  <c r="H218" i="50"/>
  <c r="H355" i="50"/>
  <c r="H284" i="50"/>
  <c r="H192" i="50"/>
  <c r="H364" i="50"/>
  <c r="L122" i="50"/>
  <c r="L89" i="50"/>
  <c r="H23" i="50"/>
  <c r="L380" i="50"/>
  <c r="H304" i="50"/>
  <c r="L57" i="50"/>
  <c r="H358" i="50"/>
  <c r="H222" i="50"/>
  <c r="H339" i="50"/>
  <c r="L377" i="50"/>
  <c r="H41" i="50"/>
  <c r="L162" i="50"/>
  <c r="L261" i="50"/>
  <c r="M30" i="46" l="1"/>
  <c r="N30" i="46" s="1"/>
  <c r="M32" i="46"/>
  <c r="N32" i="46" s="1"/>
  <c r="M28" i="46"/>
  <c r="N28" i="46" s="1"/>
  <c r="M15" i="46"/>
  <c r="N15" i="46" s="1"/>
  <c r="M36" i="46"/>
  <c r="N36" i="46" s="1"/>
  <c r="L9" i="2"/>
  <c r="G50" i="7"/>
  <c r="T36" i="2"/>
  <c r="G47" i="7"/>
  <c r="U36" i="2"/>
  <c r="T14" i="2"/>
  <c r="F76" i="21"/>
  <c r="F55" i="8"/>
  <c r="AC36" i="2"/>
  <c r="Y36" i="2"/>
  <c r="AD36" i="2"/>
  <c r="AA36" i="2"/>
  <c r="W36" i="2"/>
  <c r="S36" i="2"/>
  <c r="L65" i="7"/>
  <c r="L67" i="7" s="1"/>
  <c r="Z36" i="2"/>
  <c r="V36" i="2"/>
  <c r="R36" i="2"/>
  <c r="AB14" i="2"/>
  <c r="X14" i="2"/>
  <c r="F48" i="8"/>
  <c r="AA24" i="2"/>
  <c r="W24" i="2"/>
  <c r="S24" i="2"/>
  <c r="F60" i="21"/>
  <c r="F34" i="8"/>
  <c r="AA29" i="2"/>
  <c r="W29" i="2"/>
  <c r="S29" i="2"/>
  <c r="L43" i="7"/>
  <c r="L51" i="7" s="1"/>
  <c r="F60" i="8"/>
  <c r="F42" i="8"/>
  <c r="AB36" i="2"/>
  <c r="X36" i="2"/>
  <c r="AD29" i="2"/>
  <c r="Z29" i="2"/>
  <c r="V29" i="2"/>
  <c r="R29" i="2"/>
  <c r="AA19" i="2"/>
  <c r="W19" i="2"/>
  <c r="S19" i="2"/>
  <c r="AD19" i="2"/>
  <c r="Z19" i="2"/>
  <c r="V19" i="2"/>
  <c r="R19" i="2"/>
  <c r="F40" i="21"/>
  <c r="F43" i="21" s="1"/>
  <c r="F45" i="21" s="1"/>
  <c r="G23" i="7"/>
  <c r="G35" i="7" s="1"/>
  <c r="F14" i="21"/>
  <c r="AD24" i="2"/>
  <c r="Z24" i="2"/>
  <c r="V24" i="2"/>
  <c r="R24" i="2"/>
  <c r="AC24" i="2"/>
  <c r="Y24" i="2"/>
  <c r="U24" i="2"/>
  <c r="AC19" i="2"/>
  <c r="Y19" i="2"/>
  <c r="U19" i="2"/>
  <c r="AD14" i="2"/>
  <c r="Z14" i="2"/>
  <c r="V14" i="2"/>
  <c r="R14" i="2"/>
  <c r="AA14" i="2"/>
  <c r="W14" i="2"/>
  <c r="S14" i="2"/>
  <c r="AC14" i="2"/>
  <c r="Y14" i="2"/>
  <c r="U14" i="2"/>
  <c r="L26" i="7"/>
  <c r="L35" i="7" s="1"/>
  <c r="F54" i="21"/>
  <c r="F9" i="21"/>
  <c r="F23" i="8"/>
  <c r="AC29" i="2"/>
  <c r="Y29" i="2"/>
  <c r="U29" i="2"/>
  <c r="AB29" i="2"/>
  <c r="X29" i="2"/>
  <c r="T29" i="2"/>
  <c r="AB24" i="2"/>
  <c r="X24" i="2"/>
  <c r="T24" i="2"/>
  <c r="AB19" i="2"/>
  <c r="X19" i="2"/>
  <c r="T19" i="2"/>
  <c r="L44" i="46"/>
  <c r="L41" i="46"/>
  <c r="G16" i="46"/>
  <c r="G67" i="7" l="1"/>
  <c r="M16" i="46"/>
  <c r="N16" i="46" s="1"/>
  <c r="F47" i="21"/>
  <c r="F61" i="8"/>
  <c r="U15" i="2"/>
  <c r="U40" i="2" s="1"/>
  <c r="Y15" i="2"/>
  <c r="Y40" i="2" s="1"/>
  <c r="AC15" i="2"/>
  <c r="AC40" i="2" s="1"/>
  <c r="AD15" i="2"/>
  <c r="AD40" i="2" s="1"/>
  <c r="V15" i="2"/>
  <c r="V40" i="2" s="1"/>
  <c r="T15" i="2"/>
  <c r="T40" i="2" s="1"/>
  <c r="F35" i="8"/>
  <c r="W15" i="2"/>
  <c r="W40" i="2" s="1"/>
  <c r="R15" i="2"/>
  <c r="R40" i="2" s="1"/>
  <c r="Z15" i="2"/>
  <c r="Z40" i="2" s="1"/>
  <c r="F49" i="8"/>
  <c r="F53" i="21"/>
  <c r="F52" i="21" s="1"/>
  <c r="F74" i="21" s="1"/>
  <c r="G68" i="7"/>
  <c r="L52" i="7"/>
  <c r="L68" i="7" s="1"/>
  <c r="AA15" i="2"/>
  <c r="AA40" i="2" s="1"/>
  <c r="S15" i="2"/>
  <c r="S40" i="2" s="1"/>
  <c r="F50" i="21"/>
  <c r="G37" i="46"/>
  <c r="G10" i="46"/>
  <c r="G31" i="46"/>
  <c r="G14" i="46"/>
  <c r="L20" i="46"/>
  <c r="G29" i="46"/>
  <c r="G27" i="46"/>
  <c r="L18" i="46"/>
  <c r="L17" i="46"/>
  <c r="L46" i="46"/>
  <c r="G33" i="46"/>
  <c r="L19" i="46"/>
  <c r="G12" i="46"/>
  <c r="L24" i="46"/>
  <c r="G35" i="46"/>
  <c r="L22" i="46"/>
  <c r="L21" i="46"/>
  <c r="L10" i="46"/>
  <c r="M10" i="46" l="1"/>
  <c r="N10" i="46" s="1"/>
  <c r="M27" i="46"/>
  <c r="N27" i="46" s="1"/>
  <c r="M29" i="46"/>
  <c r="N29" i="46" s="1"/>
  <c r="M18" i="46"/>
  <c r="N18" i="46" s="1"/>
  <c r="M19" i="46"/>
  <c r="N19" i="46" s="1"/>
  <c r="M31" i="46"/>
  <c r="N31" i="46" s="1"/>
  <c r="M22" i="46"/>
  <c r="N22" i="46" s="1"/>
  <c r="M37" i="46"/>
  <c r="N37" i="46" s="1"/>
  <c r="M24" i="46"/>
  <c r="N24" i="46" s="1"/>
  <c r="M35" i="46"/>
  <c r="N35" i="46" s="1"/>
  <c r="M33" i="46"/>
  <c r="N33" i="46" s="1"/>
  <c r="M20" i="46"/>
  <c r="N20" i="46" s="1"/>
  <c r="F63" i="8"/>
  <c r="F75" i="21"/>
  <c r="L48" i="46"/>
  <c r="F65" i="8" l="1"/>
  <c r="A6" i="81"/>
  <c r="B5" i="81"/>
  <c r="A5" i="81"/>
  <c r="K5" i="81" s="1"/>
  <c r="B3" i="81"/>
  <c r="A2" i="81"/>
  <c r="K4" i="81" s="1"/>
  <c r="D1" i="81"/>
  <c r="K11" i="80"/>
  <c r="J11" i="80"/>
  <c r="I11" i="80"/>
  <c r="H11" i="80"/>
  <c r="G11" i="80"/>
  <c r="F11" i="80"/>
  <c r="E11" i="80"/>
  <c r="D11" i="80"/>
  <c r="A6" i="80"/>
  <c r="K5" i="80" s="1"/>
  <c r="B5" i="80"/>
  <c r="A5" i="80"/>
  <c r="B3" i="80"/>
  <c r="A2" i="80"/>
  <c r="D1" i="80"/>
  <c r="K4" i="80" s="1"/>
  <c r="A6" i="79"/>
  <c r="B5" i="79"/>
  <c r="A5" i="79"/>
  <c r="H5" i="79" s="1"/>
  <c r="B3" i="79"/>
  <c r="A2" i="79"/>
  <c r="H4" i="79" s="1"/>
  <c r="D1" i="79"/>
  <c r="A6" i="78"/>
  <c r="B5" i="78"/>
  <c r="A5" i="78"/>
  <c r="B3" i="78"/>
  <c r="A2" i="78"/>
  <c r="D1" i="78"/>
  <c r="H4" i="78" s="1"/>
  <c r="A6" i="77"/>
  <c r="P5" i="77" s="1"/>
  <c r="B5" i="77"/>
  <c r="A5" i="77"/>
  <c r="B3" i="77"/>
  <c r="A2" i="77"/>
  <c r="D1" i="77"/>
  <c r="P4" i="77" s="1"/>
  <c r="A6" i="76"/>
  <c r="B5" i="76"/>
  <c r="A5" i="76"/>
  <c r="B3" i="76"/>
  <c r="A2" i="76"/>
  <c r="J4" i="76" s="1"/>
  <c r="D1" i="76"/>
  <c r="K3" i="81"/>
  <c r="K3" i="80"/>
  <c r="H3" i="79"/>
  <c r="H5" i="78"/>
  <c r="H3" i="78"/>
  <c r="M30" i="77"/>
  <c r="L30" i="77"/>
  <c r="K30" i="77"/>
  <c r="J30" i="77"/>
  <c r="I30" i="77"/>
  <c r="H30" i="77"/>
  <c r="G30" i="77"/>
  <c r="F30" i="77"/>
  <c r="N30" i="77" s="1"/>
  <c r="N29" i="77"/>
  <c r="N28" i="77"/>
  <c r="N27" i="77"/>
  <c r="N26" i="77"/>
  <c r="N25" i="77"/>
  <c r="J23" i="77"/>
  <c r="J31" i="77" s="1"/>
  <c r="F23" i="77"/>
  <c r="F31" i="77" s="1"/>
  <c r="M22" i="77"/>
  <c r="L22" i="77"/>
  <c r="K22" i="77"/>
  <c r="J22" i="77"/>
  <c r="I22" i="77"/>
  <c r="H22" i="77"/>
  <c r="G22" i="77"/>
  <c r="F22" i="77"/>
  <c r="N22" i="77" s="1"/>
  <c r="N21" i="77"/>
  <c r="N20" i="77"/>
  <c r="N19" i="77"/>
  <c r="N18" i="77"/>
  <c r="N17" i="77"/>
  <c r="M15" i="77"/>
  <c r="M23" i="77" s="1"/>
  <c r="M31" i="77" s="1"/>
  <c r="L15" i="77"/>
  <c r="L23" i="77" s="1"/>
  <c r="L31" i="77" s="1"/>
  <c r="K15" i="77"/>
  <c r="K23" i="77" s="1"/>
  <c r="K31" i="77" s="1"/>
  <c r="J15" i="77"/>
  <c r="I15" i="77"/>
  <c r="I23" i="77" s="1"/>
  <c r="I31" i="77" s="1"/>
  <c r="H15" i="77"/>
  <c r="H23" i="77" s="1"/>
  <c r="H31" i="77" s="1"/>
  <c r="G15" i="77"/>
  <c r="G23" i="77" s="1"/>
  <c r="G31" i="77" s="1"/>
  <c r="F15" i="77"/>
  <c r="N15" i="77" s="1"/>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22" i="6"/>
  <c r="B23" i="6"/>
  <c r="B28" i="6"/>
  <c r="B29" i="6"/>
  <c r="B13" i="6"/>
  <c r="B14" i="6"/>
  <c r="B17" i="6"/>
  <c r="B18" i="6"/>
  <c r="L12" i="18"/>
  <c r="K12" i="18"/>
  <c r="G2074" i="18"/>
  <c r="G2073" i="18"/>
  <c r="G2132" i="18"/>
  <c r="G2131" i="18"/>
  <c r="I2070" i="18"/>
  <c r="K2063" i="18" s="1"/>
  <c r="L42" i="46"/>
  <c r="M42" i="46" l="1"/>
  <c r="N42" i="46" s="1"/>
  <c r="L11" i="80"/>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5" i="18"/>
  <c r="M4961" i="18"/>
  <c r="K4961" i="18"/>
  <c r="G4795" i="18"/>
  <c r="G4793" i="18"/>
  <c r="G4794"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41" i="18"/>
  <c r="G5240" i="18"/>
  <c r="G5239" i="18"/>
  <c r="D5217" i="18"/>
  <c r="D5222" i="18"/>
  <c r="D5227" i="18"/>
  <c r="D5232" i="18"/>
  <c r="D5237" i="18"/>
  <c r="D5242" i="18"/>
  <c r="D5247" i="18"/>
  <c r="D5252" i="18"/>
  <c r="D5257" i="18"/>
  <c r="D5262" i="18"/>
  <c r="D5267" i="18"/>
  <c r="D5272" i="18"/>
  <c r="D5273" i="18"/>
  <c r="D5274" i="18"/>
  <c r="D4739" i="18"/>
  <c r="D4740" i="18"/>
  <c r="D4741" i="18"/>
  <c r="D4742" i="18"/>
  <c r="D4743" i="18"/>
  <c r="D4744" i="18"/>
  <c r="D4745" i="18"/>
  <c r="D4746" i="18"/>
  <c r="D4747" i="18"/>
  <c r="D4736" i="18"/>
  <c r="G4736" i="18" s="1"/>
  <c r="C72" i="8"/>
  <c r="C52" i="74"/>
  <c r="C69" i="70"/>
  <c r="G5102" i="18"/>
  <c r="H5502" i="18"/>
  <c r="K5546" i="18"/>
  <c r="K5545" i="18"/>
  <c r="K5543" i="18"/>
  <c r="K5542" i="18"/>
  <c r="K5534" i="18"/>
  <c r="K5535" i="18"/>
  <c r="K5536" i="18"/>
  <c r="K5537" i="18"/>
  <c r="K5538" i="18"/>
  <c r="K5539" i="18"/>
  <c r="K5527" i="18"/>
  <c r="K5529" i="18"/>
  <c r="K5530" i="18"/>
  <c r="K5531" i="18"/>
  <c r="K5519" i="18"/>
  <c r="K5520" i="18"/>
  <c r="K5521" i="18"/>
  <c r="K5522" i="18"/>
  <c r="K5524" i="18"/>
  <c r="K5525" i="18"/>
  <c r="K5526" i="18"/>
  <c r="K5510" i="18"/>
  <c r="K5511" i="18"/>
  <c r="K5512" i="18"/>
  <c r="K5513" i="18"/>
  <c r="K5515" i="18"/>
  <c r="K5516" i="18"/>
  <c r="K5517" i="18"/>
  <c r="I5509" i="18"/>
  <c r="J5509" i="18"/>
  <c r="I5514" i="18"/>
  <c r="J5514" i="18"/>
  <c r="I5518" i="18"/>
  <c r="J5518" i="18"/>
  <c r="I5523" i="18"/>
  <c r="J5523" i="18"/>
  <c r="I5528" i="18"/>
  <c r="J5528" i="18"/>
  <c r="I5533" i="18"/>
  <c r="I5540" i="18" s="1"/>
  <c r="J5533" i="18"/>
  <c r="J5540" i="18" s="1"/>
  <c r="I5544" i="18"/>
  <c r="J5544" i="18"/>
  <c r="I5547" i="18"/>
  <c r="J5547" i="18"/>
  <c r="H5547" i="18"/>
  <c r="H5544" i="18"/>
  <c r="H5533" i="18"/>
  <c r="H5528" i="18"/>
  <c r="H5523" i="18"/>
  <c r="H5518" i="18"/>
  <c r="H5514" i="18"/>
  <c r="H5509"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K5488" i="18"/>
  <c r="K5478" i="18"/>
  <c r="K5470" i="18"/>
  <c r="K5466" i="18"/>
  <c r="N5502" i="18"/>
  <c r="K5502" i="18"/>
  <c r="D5502" i="18"/>
  <c r="G5502" i="18" s="1"/>
  <c r="H5508" i="18" l="1"/>
  <c r="K5523" i="18"/>
  <c r="K5547" i="18"/>
  <c r="K5544" i="18"/>
  <c r="J5508" i="18"/>
  <c r="J5532" i="18" s="1"/>
  <c r="K5528" i="18"/>
  <c r="K5509" i="18"/>
  <c r="K5518" i="18"/>
  <c r="H5532" i="18"/>
  <c r="K5533" i="18"/>
  <c r="H5540" i="18"/>
  <c r="K5540" i="18" s="1"/>
  <c r="I5508" i="18"/>
  <c r="I5532" i="18" s="1"/>
  <c r="K5514" i="18"/>
  <c r="K5532" i="18" l="1"/>
  <c r="K5508" i="18"/>
  <c r="I5832" i="18" l="1"/>
  <c r="I5834" i="18" s="1"/>
  <c r="I4758" i="18"/>
  <c r="I4755" i="18"/>
  <c r="H4758" i="18"/>
  <c r="H4755" i="18"/>
  <c r="D4970" i="18"/>
  <c r="D4971" i="18"/>
  <c r="D4972" i="18"/>
  <c r="D4973" i="18"/>
  <c r="D4974" i="18"/>
  <c r="D4975" i="18"/>
  <c r="D4976" i="18"/>
  <c r="D4977" i="18"/>
  <c r="D4978" i="18"/>
  <c r="D4979" i="18"/>
  <c r="D4980" i="18"/>
  <c r="D4981" i="18"/>
  <c r="D4982" i="18"/>
  <c r="D4983"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3" i="18"/>
  <c r="H6214" i="18"/>
  <c r="H6187" i="18"/>
  <c r="H6165" i="18"/>
  <c r="H6156" i="18"/>
  <c r="H6147" i="18"/>
  <c r="H6138" i="18"/>
  <c r="H6127" i="18"/>
  <c r="H6118" i="18"/>
  <c r="H6108" i="18"/>
  <c r="H6094" i="18"/>
  <c r="H6085" i="18"/>
  <c r="H6076" i="18"/>
  <c r="H6065" i="18"/>
  <c r="H6056" i="18"/>
  <c r="H6033" i="18"/>
  <c r="H6021" i="18"/>
  <c r="H6009" i="18"/>
  <c r="H5998" i="18"/>
  <c r="H5977" i="18"/>
  <c r="H5958" i="18"/>
  <c r="H5947" i="18"/>
  <c r="H5936" i="18"/>
  <c r="H5925" i="18"/>
  <c r="H5914" i="18"/>
  <c r="H5903" i="18"/>
  <c r="H5892" i="18"/>
  <c r="H5881" i="18"/>
  <c r="H5870" i="18"/>
  <c r="H5858" i="18"/>
  <c r="H5848" i="18"/>
  <c r="H5797" i="18"/>
  <c r="H5174" i="18"/>
  <c r="H5010" i="18"/>
  <c r="H5000" i="18"/>
  <c r="H4986" i="18"/>
  <c r="H4837"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3" i="18"/>
  <c r="L5803" i="18"/>
  <c r="K5803" i="18"/>
  <c r="J5803" i="18"/>
  <c r="I5803" i="18"/>
  <c r="N5797" i="18" s="1"/>
  <c r="H5803" i="18"/>
  <c r="K5797" i="18" s="1"/>
  <c r="D5800" i="18"/>
  <c r="D5801" i="18"/>
  <c r="D5802" i="18"/>
  <c r="D5803" i="18"/>
  <c r="D5797" i="18"/>
  <c r="G5797" i="18" s="1"/>
  <c r="H311" i="50"/>
  <c r="Q3981" i="18" l="1"/>
  <c r="H3820" i="18"/>
  <c r="K5281" i="18"/>
  <c r="I4738" i="18"/>
  <c r="I4747" i="18" s="1"/>
  <c r="N4736" i="18" s="1"/>
  <c r="W4" i="18"/>
  <c r="I5731" i="18" s="1"/>
  <c r="H5778" i="18"/>
  <c r="H4566" i="18"/>
  <c r="H5808" i="18"/>
  <c r="I1540" i="18"/>
  <c r="H5605" i="18"/>
  <c r="H5198" i="18"/>
  <c r="G3038" i="18"/>
  <c r="M2034" i="18"/>
  <c r="H873" i="18"/>
  <c r="H5459" i="18"/>
  <c r="H5212" i="18"/>
  <c r="G3027" i="18"/>
  <c r="G2616" i="18"/>
  <c r="G2593" i="18"/>
  <c r="G1508" i="18"/>
  <c r="G1944" i="18"/>
  <c r="H5552" i="18"/>
  <c r="J5212" i="18"/>
  <c r="H3361" i="18"/>
  <c r="H3271" i="18"/>
  <c r="G2595" i="18"/>
  <c r="H5561" i="18"/>
  <c r="H5390" i="18"/>
  <c r="H3858" i="18"/>
  <c r="I3271" i="18"/>
  <c r="G3036" i="18"/>
  <c r="G3018" i="18"/>
  <c r="G2583" i="18"/>
  <c r="G2366" i="18"/>
  <c r="G2573" i="18"/>
  <c r="W5" i="18"/>
  <c r="V2" i="18"/>
  <c r="H1766" i="18"/>
  <c r="H958" i="18"/>
  <c r="G2154" i="18"/>
  <c r="I1766" i="18"/>
  <c r="H700" i="18"/>
  <c r="I1559" i="18"/>
  <c r="G2004" i="18"/>
  <c r="H1990" i="18"/>
  <c r="H4948" i="18"/>
  <c r="H4727" i="18"/>
  <c r="H4734" i="18" s="1"/>
  <c r="H5024" i="18"/>
  <c r="H4500" i="18"/>
  <c r="H4880" i="18"/>
  <c r="H5131" i="18"/>
  <c r="H4215" i="18"/>
  <c r="H4803" i="18"/>
  <c r="H5078" i="18"/>
  <c r="I4180" i="18"/>
  <c r="I4459" i="18"/>
  <c r="J4519" i="18"/>
  <c r="I4665" i="18"/>
  <c r="I4767" i="18"/>
  <c r="I4839" i="18"/>
  <c r="I4917" i="18"/>
  <c r="I4969" i="18"/>
  <c r="I4983" i="18" s="1"/>
  <c r="I5056" i="18"/>
  <c r="I5100" i="18"/>
  <c r="K5296" i="18"/>
  <c r="H4180" i="18"/>
  <c r="H4459" i="18"/>
  <c r="H4519" i="18"/>
  <c r="H4665" i="18"/>
  <c r="H4767" i="18"/>
  <c r="H4839" i="18"/>
  <c r="H4917" i="18"/>
  <c r="H4969" i="18"/>
  <c r="H5056" i="18"/>
  <c r="H5100" i="18"/>
  <c r="J5296" i="18"/>
  <c r="I4215" i="18"/>
  <c r="I4500" i="18"/>
  <c r="J4566" i="18"/>
  <c r="I4727" i="18"/>
  <c r="I4734" i="18" s="1"/>
  <c r="I4803" i="18"/>
  <c r="I4880" i="18"/>
  <c r="I4948" i="18"/>
  <c r="I5024" i="18"/>
  <c r="I5078" i="18"/>
  <c r="I5131" i="18"/>
  <c r="I5808" i="18"/>
  <c r="I4200" i="18"/>
  <c r="I4224" i="18"/>
  <c r="I4509" i="18"/>
  <c r="J4543" i="18"/>
  <c r="I4635" i="18"/>
  <c r="I4696" i="18"/>
  <c r="I4752" i="18"/>
  <c r="I4778" i="18"/>
  <c r="I4790" i="18" s="1"/>
  <c r="I4825" i="18"/>
  <c r="I4902" i="18"/>
  <c r="I4930" i="18"/>
  <c r="I4961" i="18"/>
  <c r="I4988" i="18"/>
  <c r="I5040" i="18"/>
  <c r="I5067" i="18"/>
  <c r="I5089" i="18"/>
  <c r="I5123" i="18"/>
  <c r="I5778" i="18"/>
  <c r="H4200" i="18"/>
  <c r="H4224" i="18"/>
  <c r="H4491" i="18"/>
  <c r="H4509" i="18"/>
  <c r="H4543" i="18"/>
  <c r="H4635" i="18"/>
  <c r="H4696" i="18"/>
  <c r="H4752" i="18"/>
  <c r="H4778" i="18"/>
  <c r="H4825" i="18"/>
  <c r="H4866" i="18"/>
  <c r="H4902" i="18"/>
  <c r="H4930" i="18"/>
  <c r="H4961" i="18"/>
  <c r="H4988" i="18"/>
  <c r="H5040" i="18"/>
  <c r="H5067" i="18"/>
  <c r="H5089" i="18"/>
  <c r="H5123" i="18"/>
  <c r="J5281" i="18"/>
  <c r="J4491" i="18"/>
  <c r="I4866" i="18"/>
  <c r="I4861" i="18"/>
  <c r="H4861" i="18"/>
  <c r="D4853" i="18"/>
  <c r="D4854" i="18"/>
  <c r="D4855" i="18"/>
  <c r="D4856" i="18"/>
  <c r="D4857" i="18"/>
  <c r="D4858" i="18"/>
  <c r="D4859" i="18"/>
  <c r="D4860" i="18"/>
  <c r="D4861" i="18"/>
  <c r="L311" i="50"/>
  <c r="H814" i="18" l="1"/>
  <c r="H836" i="18"/>
  <c r="H795" i="18"/>
  <c r="H765" i="18"/>
  <c r="H724" i="18"/>
  <c r="H780" i="18"/>
  <c r="H743" i="18"/>
  <c r="H3321" i="18"/>
  <c r="K2545" i="18"/>
  <c r="H5741" i="18"/>
  <c r="H3423" i="18"/>
  <c r="N2121" i="18"/>
  <c r="K4362" i="18"/>
  <c r="H3308" i="18"/>
  <c r="H1082" i="18"/>
  <c r="L3216" i="18"/>
  <c r="H1620" i="18"/>
  <c r="H1170" i="18"/>
  <c r="H3831" i="18"/>
  <c r="N1911" i="18"/>
  <c r="Q2466" i="18"/>
  <c r="H4170" i="18"/>
  <c r="I5625" i="18"/>
  <c r="I5638" i="18"/>
  <c r="K4149" i="18"/>
  <c r="H239" i="18"/>
  <c r="H2205" i="18"/>
  <c r="H3411" i="18"/>
  <c r="H217" i="18"/>
  <c r="N4087" i="18"/>
  <c r="I5671" i="18"/>
  <c r="I5681" i="18"/>
  <c r="M4271" i="18"/>
  <c r="H5324" i="18"/>
  <c r="Q4063" i="18"/>
  <c r="H2879" i="18"/>
  <c r="H1792" i="18"/>
  <c r="K2433" i="18"/>
  <c r="H979" i="18"/>
  <c r="H2415" i="18"/>
  <c r="H3918" i="18"/>
  <c r="H1015" i="18"/>
  <c r="H1802" i="18"/>
  <c r="H12" i="18"/>
  <c r="H5358" i="18"/>
  <c r="H23" i="18"/>
  <c r="K3659" i="18"/>
  <c r="H2833" i="18"/>
  <c r="M1639" i="18"/>
  <c r="H518" i="18"/>
  <c r="H195" i="18"/>
  <c r="H1060" i="18"/>
  <c r="K3383" i="18"/>
  <c r="N254" i="18"/>
  <c r="N582" i="18"/>
  <c r="M4426" i="18"/>
  <c r="N4343" i="18"/>
  <c r="I5741" i="18"/>
  <c r="J5681" i="18"/>
  <c r="J5638" i="18"/>
  <c r="J5731" i="18"/>
  <c r="J5671" i="18"/>
  <c r="J5625"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50"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60"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80" i="18"/>
  <c r="H709" i="18"/>
  <c r="H3445" i="18"/>
  <c r="K2532" i="18"/>
  <c r="H1258" i="18"/>
  <c r="H2911" i="18"/>
  <c r="H3999" i="18"/>
  <c r="H1236" i="18"/>
  <c r="H4053" i="18"/>
  <c r="H1950" i="18"/>
  <c r="H123" i="18"/>
  <c r="H1119" i="18"/>
  <c r="K4353" i="18"/>
  <c r="I5764" i="18"/>
  <c r="H4249" i="18"/>
  <c r="I4848" i="18"/>
  <c r="N4837" i="18" s="1"/>
  <c r="H4848" i="18"/>
  <c r="K4837" i="18" s="1"/>
  <c r="D4840" i="18"/>
  <c r="D4841" i="18"/>
  <c r="D4842" i="18"/>
  <c r="D4843" i="18"/>
  <c r="D4844" i="18"/>
  <c r="D4845" i="18"/>
  <c r="D4846" i="18"/>
  <c r="D4847" i="18"/>
  <c r="D4848" i="18"/>
  <c r="D4837" i="18"/>
  <c r="G4837"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L318" i="50"/>
  <c r="H318" i="50"/>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93" i="21"/>
  <c r="F45" i="69"/>
  <c r="F44" i="69"/>
  <c r="E78" i="69"/>
  <c r="F32" i="73"/>
  <c r="I59" i="68"/>
  <c r="I58" i="68"/>
  <c r="I47" i="68"/>
  <c r="I46" i="68"/>
  <c r="K2118" i="18" l="1"/>
  <c r="N2132" i="18"/>
  <c r="F78" i="69"/>
  <c r="I47" i="72"/>
  <c r="G1" i="5"/>
  <c r="H136" i="50"/>
  <c r="F797" i="5" l="1"/>
  <c r="J797"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M676" i="5"/>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21" i="18"/>
  <c r="G5220" i="18"/>
  <c r="G5219"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2" i="18" s="1"/>
  <c r="D6097" i="18"/>
  <c r="D6098" i="18"/>
  <c r="D6099" i="18"/>
  <c r="D6100" i="18"/>
  <c r="D6101" i="18"/>
  <c r="D6102" i="18"/>
  <c r="D6103" i="18"/>
  <c r="D6104" i="18"/>
  <c r="D6105" i="18"/>
  <c r="H6105" i="18"/>
  <c r="K6094"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8" i="18"/>
  <c r="H5806" i="18"/>
  <c r="H5776" i="18"/>
  <c r="H5762" i="18"/>
  <c r="H5747" i="18"/>
  <c r="H5739" i="18"/>
  <c r="H5729" i="18"/>
  <c r="H5719" i="18"/>
  <c r="H5709" i="18"/>
  <c r="H5699" i="18"/>
  <c r="H5689" i="18"/>
  <c r="H5679" i="18"/>
  <c r="H5669" i="18"/>
  <c r="H5659" i="18"/>
  <c r="H5649" i="18"/>
  <c r="H5636" i="18"/>
  <c r="H5623" i="18"/>
  <c r="H5603" i="18"/>
  <c r="H5577" i="18"/>
  <c r="H5559" i="18"/>
  <c r="D5550" i="18"/>
  <c r="G5550" i="18" s="1"/>
  <c r="H5550" i="18"/>
  <c r="H5456" i="18"/>
  <c r="H5421" i="18"/>
  <c r="H5387" i="18"/>
  <c r="H5371" i="18"/>
  <c r="H5355" i="18"/>
  <c r="H5338" i="18"/>
  <c r="H5321" i="18"/>
  <c r="H5307" i="18"/>
  <c r="H5292" i="18"/>
  <c r="H5277" i="18"/>
  <c r="H5210" i="18"/>
  <c r="H5196" i="18"/>
  <c r="H5185" i="18"/>
  <c r="H5158" i="18"/>
  <c r="H5148" i="18"/>
  <c r="H5138" i="18"/>
  <c r="H5129" i="18"/>
  <c r="H5121" i="18"/>
  <c r="H5098" i="18"/>
  <c r="H5087" i="18"/>
  <c r="H5076" i="18"/>
  <c r="H5065" i="18"/>
  <c r="H5054" i="18"/>
  <c r="H5038" i="18"/>
  <c r="H5022" i="18"/>
  <c r="H4967" i="18"/>
  <c r="H4959" i="18"/>
  <c r="H4946" i="18"/>
  <c r="H4928" i="18"/>
  <c r="H4915" i="18"/>
  <c r="K4939" i="18" s="1"/>
  <c r="H4900" i="18"/>
  <c r="H4878" i="18"/>
  <c r="H4864" i="18"/>
  <c r="H4850" i="18"/>
  <c r="H4823" i="18"/>
  <c r="H4801"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3"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9" i="18"/>
  <c r="N5387" i="18" s="1"/>
  <c r="K5387" i="18"/>
  <c r="D5430" i="18"/>
  <c r="D5435" i="18"/>
  <c r="D5440" i="18"/>
  <c r="D5445" i="18"/>
  <c r="D5450" i="18"/>
  <c r="D5451" i="18"/>
  <c r="D5452" i="18"/>
  <c r="I5453" i="18"/>
  <c r="N5421" i="18" s="1"/>
  <c r="G5449" i="18"/>
  <c r="G5448" i="18"/>
  <c r="G5447" i="18"/>
  <c r="G5444" i="18"/>
  <c r="G5443" i="18"/>
  <c r="G5442" i="18"/>
  <c r="G5439" i="18"/>
  <c r="G5438" i="18"/>
  <c r="G5437" i="18"/>
  <c r="G5434" i="18"/>
  <c r="G5433" i="18"/>
  <c r="G5432" i="18"/>
  <c r="G5429" i="18"/>
  <c r="G5428" i="18"/>
  <c r="G5427" i="18"/>
  <c r="D5396" i="18"/>
  <c r="D5401" i="18"/>
  <c r="D5406" i="18"/>
  <c r="D5411" i="18"/>
  <c r="D5416" i="18"/>
  <c r="D5417" i="18"/>
  <c r="D5418" i="18"/>
  <c r="G5415" i="18"/>
  <c r="G5414" i="18"/>
  <c r="G5413" i="18"/>
  <c r="G5410" i="18"/>
  <c r="G5409" i="18"/>
  <c r="G5408" i="18"/>
  <c r="G5405" i="18"/>
  <c r="G5404" i="18"/>
  <c r="G5403" i="18"/>
  <c r="G5400" i="18"/>
  <c r="G5399" i="18"/>
  <c r="G5398" i="18"/>
  <c r="G5395" i="18"/>
  <c r="G5394" i="18"/>
  <c r="G5393" i="18"/>
  <c r="D5127" i="18"/>
  <c r="G5271" i="18"/>
  <c r="G5270" i="18"/>
  <c r="G5269" i="18"/>
  <c r="G5266" i="18"/>
  <c r="G5265" i="18"/>
  <c r="G5264" i="18"/>
  <c r="G5261" i="18"/>
  <c r="G5260" i="18"/>
  <c r="G5259" i="18"/>
  <c r="G5256" i="18"/>
  <c r="G5255" i="18"/>
  <c r="G5254" i="18"/>
  <c r="G5251" i="18"/>
  <c r="G5250" i="18"/>
  <c r="G5249" i="18"/>
  <c r="G5246" i="18"/>
  <c r="G5245" i="18"/>
  <c r="G5244" i="18"/>
  <c r="G5236" i="18"/>
  <c r="G5235" i="18"/>
  <c r="G5234" i="18"/>
  <c r="G5231" i="18"/>
  <c r="G5230" i="18"/>
  <c r="G5229" i="18"/>
  <c r="G5226" i="18"/>
  <c r="G5225" i="18"/>
  <c r="G5224" i="18"/>
  <c r="G5216" i="18"/>
  <c r="G5215" i="18"/>
  <c r="G5214" i="18"/>
  <c r="G5103" i="18"/>
  <c r="I4786" i="18"/>
  <c r="H4786" i="18"/>
  <c r="I4779" i="18"/>
  <c r="H4790"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6" i="18"/>
  <c r="D5327" i="18"/>
  <c r="D5328" i="18"/>
  <c r="D5329" i="18"/>
  <c r="D5330" i="18"/>
  <c r="D5331" i="18"/>
  <c r="D5332" i="18"/>
  <c r="D5333" i="18"/>
  <c r="D5334" i="18"/>
  <c r="D5335" i="18"/>
  <c r="D5336" i="18"/>
  <c r="L5336" i="18"/>
  <c r="K5336" i="18"/>
  <c r="J5336" i="18"/>
  <c r="I5336" i="18"/>
  <c r="N5321" i="18" s="1"/>
  <c r="H5336" i="18"/>
  <c r="K5321"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9" i="18"/>
  <c r="K6243" i="18" s="1"/>
  <c r="D6249" i="18"/>
  <c r="D6248" i="18"/>
  <c r="D6247" i="18"/>
  <c r="D6246" i="18"/>
  <c r="D6243" i="18"/>
  <c r="G6243" i="18" s="1"/>
  <c r="C6242" i="18"/>
  <c r="G6242" i="18" s="1"/>
  <c r="D6240" i="18"/>
  <c r="D6239" i="18"/>
  <c r="I6238" i="18"/>
  <c r="H6238" i="18"/>
  <c r="D6238" i="18"/>
  <c r="J6237" i="18"/>
  <c r="D6237" i="18"/>
  <c r="J6236" i="18"/>
  <c r="D6236" i="18"/>
  <c r="J6235" i="18"/>
  <c r="D6235" i="18"/>
  <c r="J6234" i="18"/>
  <c r="D6234" i="18"/>
  <c r="J6233" i="18"/>
  <c r="D6233" i="18"/>
  <c r="J6232" i="18"/>
  <c r="D6232" i="18"/>
  <c r="J6231" i="18"/>
  <c r="D6231" i="18"/>
  <c r="J6230" i="18"/>
  <c r="D6230" i="18"/>
  <c r="J6229" i="18"/>
  <c r="D6229" i="18"/>
  <c r="D6228" i="18"/>
  <c r="D6227" i="18"/>
  <c r="I6226" i="18"/>
  <c r="H6226" i="18"/>
  <c r="D6226" i="18"/>
  <c r="J6225" i="18"/>
  <c r="D6225" i="18"/>
  <c r="J6224" i="18"/>
  <c r="D6224" i="18"/>
  <c r="J6223" i="18"/>
  <c r="D6223" i="18"/>
  <c r="J6222" i="18"/>
  <c r="D6222" i="18"/>
  <c r="J6221" i="18"/>
  <c r="D6221" i="18"/>
  <c r="J6220" i="18"/>
  <c r="D6220" i="18"/>
  <c r="J6219" i="18"/>
  <c r="D6219" i="18"/>
  <c r="J6218" i="18"/>
  <c r="D6218" i="18"/>
  <c r="D6217" i="18"/>
  <c r="D6214" i="18"/>
  <c r="G6214" i="18" s="1"/>
  <c r="C6213" i="18"/>
  <c r="G6213" i="18" s="1"/>
  <c r="D6211" i="18"/>
  <c r="J6210" i="18"/>
  <c r="D6210" i="18"/>
  <c r="I6209" i="18"/>
  <c r="H6209" i="18"/>
  <c r="D6209" i="18"/>
  <c r="J6208" i="18"/>
  <c r="D6208" i="18"/>
  <c r="J6207" i="18"/>
  <c r="D6207" i="18"/>
  <c r="J6206" i="18"/>
  <c r="D6206" i="18"/>
  <c r="J6205" i="18"/>
  <c r="D6205" i="18"/>
  <c r="J6204" i="18"/>
  <c r="D6204" i="18"/>
  <c r="J6203" i="18"/>
  <c r="D6203" i="18"/>
  <c r="J6202" i="18"/>
  <c r="D6202" i="18"/>
  <c r="J6201" i="18"/>
  <c r="D6201" i="18"/>
  <c r="J6200" i="18"/>
  <c r="D6200" i="18"/>
  <c r="D6199" i="18"/>
  <c r="D6198" i="18"/>
  <c r="I6197" i="18"/>
  <c r="H6197" i="18"/>
  <c r="D6197" i="18"/>
  <c r="J6196" i="18"/>
  <c r="D6196" i="18"/>
  <c r="J6195" i="18"/>
  <c r="D6195" i="18"/>
  <c r="J6194" i="18"/>
  <c r="D6194" i="18"/>
  <c r="J6193" i="18"/>
  <c r="D6193" i="18"/>
  <c r="J6192" i="18"/>
  <c r="D6192" i="18"/>
  <c r="J6191" i="18"/>
  <c r="D6191" i="18"/>
  <c r="D6190" i="18"/>
  <c r="D6187" i="18"/>
  <c r="G6187" i="18" s="1"/>
  <c r="C6186" i="18"/>
  <c r="G6186" i="18" s="1"/>
  <c r="D6184" i="18"/>
  <c r="D6183" i="18"/>
  <c r="H6182" i="18"/>
  <c r="D6182" i="18"/>
  <c r="D6181" i="18"/>
  <c r="D6180" i="18"/>
  <c r="D6179" i="18"/>
  <c r="D6178" i="18"/>
  <c r="D6177" i="18"/>
  <c r="D6176" i="18"/>
  <c r="D6175" i="18"/>
  <c r="D6174" i="18"/>
  <c r="D6173" i="18"/>
  <c r="D6172" i="18"/>
  <c r="D6171" i="18"/>
  <c r="H6170" i="18"/>
  <c r="D6170" i="18"/>
  <c r="D6169" i="18"/>
  <c r="D6168" i="18"/>
  <c r="D6165" i="18"/>
  <c r="G6165" i="18" s="1"/>
  <c r="C6164" i="18"/>
  <c r="G6164" i="18" s="1"/>
  <c r="I6162" i="18"/>
  <c r="H6162" i="18"/>
  <c r="D6162" i="18"/>
  <c r="D6161" i="18"/>
  <c r="D6160" i="18"/>
  <c r="J6159" i="18"/>
  <c r="J6162" i="18" s="1"/>
  <c r="K6156" i="18" s="1"/>
  <c r="D6159" i="18"/>
  <c r="D6156" i="18"/>
  <c r="G6156" i="18" s="1"/>
  <c r="C6155" i="18"/>
  <c r="G6155" i="18" s="1"/>
  <c r="I6153" i="18"/>
  <c r="H6153" i="18"/>
  <c r="D6153" i="18"/>
  <c r="D6152" i="18"/>
  <c r="D6151" i="18"/>
  <c r="J6150" i="18"/>
  <c r="J6153" i="18" s="1"/>
  <c r="K6147" i="18" s="1"/>
  <c r="D6150" i="18"/>
  <c r="D6147" i="18"/>
  <c r="G6147" i="18" s="1"/>
  <c r="C6146" i="18"/>
  <c r="G6146" i="18" s="1"/>
  <c r="H6144" i="18"/>
  <c r="K6138" i="18" s="1"/>
  <c r="D6144" i="18"/>
  <c r="D6143" i="18"/>
  <c r="D6142" i="18"/>
  <c r="D6141" i="18"/>
  <c r="D6138" i="18"/>
  <c r="G6138" i="18" s="1"/>
  <c r="C6137" i="18"/>
  <c r="G6137" i="18" s="1"/>
  <c r="H6135" i="18"/>
  <c r="K6127" i="18" s="1"/>
  <c r="D6135" i="18"/>
  <c r="D6134" i="18"/>
  <c r="D6133" i="18"/>
  <c r="D6132" i="18"/>
  <c r="D6131" i="18"/>
  <c r="D6130" i="18"/>
  <c r="D6127" i="18"/>
  <c r="G6127" i="18" s="1"/>
  <c r="C6126" i="18"/>
  <c r="G6126" i="18" s="1"/>
  <c r="H6124" i="18"/>
  <c r="K6118" i="18" s="1"/>
  <c r="D6124" i="18"/>
  <c r="D6123" i="18"/>
  <c r="D6122" i="18"/>
  <c r="D6121" i="18"/>
  <c r="D6118" i="18"/>
  <c r="G6118" i="18" s="1"/>
  <c r="C6117" i="18"/>
  <c r="G6117" i="18" s="1"/>
  <c r="H6115" i="18"/>
  <c r="K6108" i="18" s="1"/>
  <c r="D6115" i="18"/>
  <c r="D6114" i="18"/>
  <c r="D6113" i="18"/>
  <c r="D6112" i="18"/>
  <c r="D6111" i="18"/>
  <c r="D6108" i="18"/>
  <c r="G6108" i="18" s="1"/>
  <c r="C6107" i="18"/>
  <c r="G6107" i="18" s="1"/>
  <c r="D6094" i="18"/>
  <c r="G6094" i="18" s="1"/>
  <c r="C6093" i="18"/>
  <c r="G6093" i="18" s="1"/>
  <c r="H6091" i="18"/>
  <c r="K6085" i="18" s="1"/>
  <c r="D6091" i="18"/>
  <c r="D6090" i="18"/>
  <c r="D6089" i="18"/>
  <c r="D6088" i="18"/>
  <c r="D6085" i="18"/>
  <c r="G6085" i="18" s="1"/>
  <c r="C6084" i="18"/>
  <c r="G6084" i="18" s="1"/>
  <c r="H6082" i="18"/>
  <c r="K6076" i="18" s="1"/>
  <c r="D6082" i="18"/>
  <c r="D6081" i="18"/>
  <c r="D6080" i="18"/>
  <c r="D6079" i="18"/>
  <c r="D6076" i="18"/>
  <c r="G6076" i="18" s="1"/>
  <c r="C6075" i="18"/>
  <c r="G6075" i="18" s="1"/>
  <c r="H6073" i="18"/>
  <c r="K6065" i="18" s="1"/>
  <c r="D6073" i="18"/>
  <c r="D6072" i="18"/>
  <c r="D6071" i="18"/>
  <c r="D6070" i="18"/>
  <c r="D6069" i="18"/>
  <c r="D6068" i="18"/>
  <c r="D6065" i="18"/>
  <c r="G6065" i="18" s="1"/>
  <c r="C6064" i="18"/>
  <c r="G6064" i="18" s="1"/>
  <c r="H6062" i="18"/>
  <c r="K6056" i="18" s="1"/>
  <c r="D6062" i="18"/>
  <c r="D6061" i="18"/>
  <c r="D6060" i="18"/>
  <c r="D6059" i="18"/>
  <c r="D6056" i="18"/>
  <c r="G6056" i="18" s="1"/>
  <c r="C6055" i="18"/>
  <c r="G6055" i="18" s="1"/>
  <c r="D6052" i="18"/>
  <c r="D6051" i="18"/>
  <c r="D6050" i="18"/>
  <c r="D6049" i="18"/>
  <c r="D6048" i="18"/>
  <c r="D6047" i="18"/>
  <c r="D6046" i="18"/>
  <c r="I6045" i="18"/>
  <c r="D6045" i="18"/>
  <c r="D6044" i="18"/>
  <c r="D6043" i="18"/>
  <c r="D6042" i="18"/>
  <c r="I6041" i="18"/>
  <c r="D6041" i="18"/>
  <c r="D6040" i="18"/>
  <c r="D6039" i="18"/>
  <c r="I6038" i="18"/>
  <c r="D6038" i="18"/>
  <c r="D6037" i="18"/>
  <c r="D6036" i="18"/>
  <c r="D6033" i="18"/>
  <c r="G6033" i="18" s="1"/>
  <c r="C6032" i="18"/>
  <c r="G6032" i="18" s="1"/>
  <c r="I6030" i="18"/>
  <c r="D6030" i="18"/>
  <c r="D6029" i="18"/>
  <c r="D6028" i="18"/>
  <c r="D6027" i="18"/>
  <c r="D6026" i="18"/>
  <c r="D6025" i="18"/>
  <c r="D6024" i="18"/>
  <c r="K6021" i="18"/>
  <c r="D6021" i="18"/>
  <c r="G6021" i="18" s="1"/>
  <c r="C6020" i="18"/>
  <c r="G6020" i="18" s="1"/>
  <c r="I6018" i="18"/>
  <c r="D6018" i="18"/>
  <c r="D6017" i="18"/>
  <c r="D6016" i="18"/>
  <c r="D6015" i="18"/>
  <c r="D6014" i="18"/>
  <c r="D6013" i="18"/>
  <c r="D6012" i="18"/>
  <c r="K6009" i="18"/>
  <c r="D6009" i="18"/>
  <c r="G6009" i="18" s="1"/>
  <c r="C6008" i="18"/>
  <c r="G6008" i="18" s="1"/>
  <c r="I6006" i="18"/>
  <c r="K5998" i="18" s="1"/>
  <c r="D6006" i="18"/>
  <c r="D6005" i="18"/>
  <c r="D6004" i="18"/>
  <c r="D6003" i="18"/>
  <c r="D6002" i="18"/>
  <c r="D6001" i="18"/>
  <c r="D5998" i="18"/>
  <c r="G5998" i="18" s="1"/>
  <c r="C5997" i="18"/>
  <c r="G5997" i="18" s="1"/>
  <c r="I5995" i="18"/>
  <c r="K5977" i="18" s="1"/>
  <c r="D5995" i="18"/>
  <c r="D5994" i="18"/>
  <c r="D5993" i="18"/>
  <c r="D5992" i="18"/>
  <c r="D5991" i="18"/>
  <c r="D5990" i="18"/>
  <c r="D5989" i="18"/>
  <c r="D5988" i="18"/>
  <c r="D5987" i="18"/>
  <c r="D5986" i="18"/>
  <c r="D5985" i="18"/>
  <c r="D5984" i="18"/>
  <c r="D5983" i="18"/>
  <c r="D5982" i="18"/>
  <c r="D5981" i="18"/>
  <c r="D5980" i="18"/>
  <c r="D5977" i="18"/>
  <c r="G5977" i="18" s="1"/>
  <c r="C5976" i="18"/>
  <c r="G5976" i="18" s="1"/>
  <c r="I5974" i="18"/>
  <c r="K5958" i="18" s="1"/>
  <c r="D5974" i="18"/>
  <c r="D5973" i="18"/>
  <c r="D5972" i="18"/>
  <c r="D5971" i="18"/>
  <c r="D5970" i="18"/>
  <c r="D5969" i="18"/>
  <c r="D5968" i="18"/>
  <c r="D5967" i="18"/>
  <c r="D5966" i="18"/>
  <c r="D5965" i="18"/>
  <c r="D5964" i="18"/>
  <c r="D5963" i="18"/>
  <c r="D5962" i="18"/>
  <c r="D5961" i="18"/>
  <c r="D5958" i="18"/>
  <c r="G5958" i="18" s="1"/>
  <c r="C5957" i="18"/>
  <c r="G5957" i="18" s="1"/>
  <c r="I5955" i="18"/>
  <c r="K5947" i="18" s="1"/>
  <c r="D5955" i="18"/>
  <c r="D5954" i="18"/>
  <c r="D5953" i="18"/>
  <c r="D5952" i="18"/>
  <c r="D5951" i="18"/>
  <c r="D5950" i="18"/>
  <c r="D5947" i="18"/>
  <c r="G5947" i="18" s="1"/>
  <c r="C5946" i="18"/>
  <c r="G5946" i="18" s="1"/>
  <c r="I5944" i="18"/>
  <c r="K5936" i="18" s="1"/>
  <c r="D5944" i="18"/>
  <c r="D5943" i="18"/>
  <c r="D5942" i="18"/>
  <c r="D5941" i="18"/>
  <c r="D5940" i="18"/>
  <c r="D5939" i="18"/>
  <c r="D5936" i="18"/>
  <c r="G5936" i="18" s="1"/>
  <c r="C5935" i="18"/>
  <c r="G5935" i="18" s="1"/>
  <c r="I5933" i="18"/>
  <c r="K5925" i="18" s="1"/>
  <c r="D5933" i="18"/>
  <c r="D5932" i="18"/>
  <c r="D5931" i="18"/>
  <c r="D5930" i="18"/>
  <c r="D5929" i="18"/>
  <c r="D5928" i="18"/>
  <c r="D5925" i="18"/>
  <c r="G5925" i="18" s="1"/>
  <c r="C5924" i="18"/>
  <c r="G5924" i="18" s="1"/>
  <c r="I5922" i="18"/>
  <c r="K5914" i="18" s="1"/>
  <c r="D5922" i="18"/>
  <c r="D5921" i="18"/>
  <c r="D5920" i="18"/>
  <c r="D5919" i="18"/>
  <c r="D5918" i="18"/>
  <c r="D5917" i="18"/>
  <c r="D5914" i="18"/>
  <c r="G5914" i="18" s="1"/>
  <c r="C5913" i="18"/>
  <c r="G5913" i="18" s="1"/>
  <c r="I5911" i="18"/>
  <c r="K5903" i="18" s="1"/>
  <c r="D5911" i="18"/>
  <c r="D5910" i="18"/>
  <c r="D5909" i="18"/>
  <c r="D5908" i="18"/>
  <c r="D5907" i="18"/>
  <c r="D5906" i="18"/>
  <c r="D5903" i="18"/>
  <c r="G5903" i="18" s="1"/>
  <c r="C5902" i="18"/>
  <c r="G5902" i="18" s="1"/>
  <c r="I5900" i="18"/>
  <c r="K5892" i="18" s="1"/>
  <c r="D5900" i="18"/>
  <c r="D5899" i="18"/>
  <c r="D5898" i="18"/>
  <c r="D5897" i="18"/>
  <c r="D5896" i="18"/>
  <c r="D5895" i="18"/>
  <c r="D5892" i="18"/>
  <c r="G5892" i="18" s="1"/>
  <c r="C5891" i="18"/>
  <c r="G5891" i="18" s="1"/>
  <c r="I5889" i="18"/>
  <c r="K5881" i="18" s="1"/>
  <c r="D5889" i="18"/>
  <c r="D5888" i="18"/>
  <c r="D5887" i="18"/>
  <c r="D5886" i="18"/>
  <c r="D5885" i="18"/>
  <c r="D5884" i="18"/>
  <c r="D5881" i="18"/>
  <c r="G5881" i="18" s="1"/>
  <c r="C5880" i="18"/>
  <c r="G5880" i="18" s="1"/>
  <c r="I5878" i="18"/>
  <c r="K5870" i="18" s="1"/>
  <c r="D5878" i="18"/>
  <c r="D5877" i="18"/>
  <c r="D5876" i="18"/>
  <c r="D5875" i="18"/>
  <c r="D5874" i="18"/>
  <c r="D5873" i="18"/>
  <c r="D5870" i="18"/>
  <c r="G5870" i="18" s="1"/>
  <c r="C5869" i="18"/>
  <c r="G5869" i="18" s="1"/>
  <c r="H5866" i="18"/>
  <c r="D5866" i="18"/>
  <c r="D5865" i="18"/>
  <c r="D5864" i="18"/>
  <c r="D5863" i="18"/>
  <c r="D5862" i="18"/>
  <c r="D5861" i="18"/>
  <c r="D5858" i="18"/>
  <c r="G5858" i="18" s="1"/>
  <c r="H5856" i="18"/>
  <c r="D5856" i="18"/>
  <c r="D5855" i="18"/>
  <c r="D5854" i="18"/>
  <c r="D5853" i="18"/>
  <c r="D5852" i="18"/>
  <c r="D5851" i="18"/>
  <c r="D5848" i="18"/>
  <c r="G5848" i="18" s="1"/>
  <c r="H5846" i="18"/>
  <c r="D5846" i="18"/>
  <c r="D5845" i="18"/>
  <c r="D5844" i="18"/>
  <c r="D5843" i="18"/>
  <c r="D5842" i="18"/>
  <c r="D5841" i="18"/>
  <c r="D5838" i="18"/>
  <c r="G5838" i="18" s="1"/>
  <c r="I5836" i="18"/>
  <c r="N5806" i="18" s="1"/>
  <c r="D5836" i="18"/>
  <c r="D5835" i="18"/>
  <c r="D5834" i="18"/>
  <c r="D5833" i="18"/>
  <c r="H5832" i="18"/>
  <c r="D5832"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6" i="18"/>
  <c r="G5806" i="18" s="1"/>
  <c r="C5805" i="18"/>
  <c r="G5805" i="18" s="1"/>
  <c r="D5795" i="18"/>
  <c r="D5794" i="18"/>
  <c r="D5793" i="18"/>
  <c r="D5792" i="18"/>
  <c r="D5791" i="18"/>
  <c r="D5790" i="18"/>
  <c r="D5789" i="18"/>
  <c r="D5788" i="18"/>
  <c r="I5787" i="18"/>
  <c r="H5787" i="18"/>
  <c r="D5787" i="18"/>
  <c r="D5786" i="18"/>
  <c r="D5785" i="18"/>
  <c r="D5784" i="18"/>
  <c r="I5783" i="18"/>
  <c r="H5783" i="18"/>
  <c r="D5783" i="18"/>
  <c r="D5782" i="18"/>
  <c r="D5781" i="18"/>
  <c r="D5780" i="18"/>
  <c r="D5779" i="18"/>
  <c r="D5776" i="18"/>
  <c r="G5776" i="18" s="1"/>
  <c r="C5775" i="18"/>
  <c r="G5775" i="18" s="1"/>
  <c r="I5318" i="18"/>
  <c r="N5307" i="18" s="1"/>
  <c r="H5318" i="18"/>
  <c r="K5307" i="18" s="1"/>
  <c r="D5318" i="18"/>
  <c r="D5317" i="18"/>
  <c r="D5316" i="18"/>
  <c r="D5315" i="18"/>
  <c r="D5314" i="18"/>
  <c r="D5313" i="18"/>
  <c r="D5312" i="18"/>
  <c r="D5311" i="18"/>
  <c r="D5310" i="18"/>
  <c r="D5307" i="18"/>
  <c r="G5307" i="18" s="1"/>
  <c r="K5305" i="18"/>
  <c r="N5292" i="18" s="1"/>
  <c r="J5305" i="18"/>
  <c r="K5292" i="18" s="1"/>
  <c r="I5305" i="18"/>
  <c r="H5305" i="18"/>
  <c r="D5305" i="18"/>
  <c r="D5304" i="18"/>
  <c r="D5303" i="18"/>
  <c r="D5302" i="18"/>
  <c r="D5301" i="18"/>
  <c r="D5300" i="18"/>
  <c r="D5299" i="18"/>
  <c r="D5298" i="18"/>
  <c r="D5297" i="18"/>
  <c r="D5292" i="18"/>
  <c r="G5292" i="18" s="1"/>
  <c r="K5290" i="18"/>
  <c r="N5277" i="18" s="1"/>
  <c r="J5290" i="18"/>
  <c r="K5277" i="18" s="1"/>
  <c r="I5290" i="18"/>
  <c r="H5290" i="18"/>
  <c r="D5290" i="18"/>
  <c r="D5289" i="18"/>
  <c r="D5288" i="18"/>
  <c r="D5287" i="18"/>
  <c r="D5286" i="18"/>
  <c r="D5285" i="18"/>
  <c r="D5284" i="18"/>
  <c r="D5283" i="18"/>
  <c r="D5282" i="18"/>
  <c r="D5277" i="18"/>
  <c r="G5277" i="18" s="1"/>
  <c r="C5276" i="18"/>
  <c r="G5276" i="18" s="1"/>
  <c r="P5601" i="18"/>
  <c r="O5601" i="18"/>
  <c r="N5601" i="18"/>
  <c r="M5601" i="18"/>
  <c r="L5601" i="18"/>
  <c r="K5601" i="18"/>
  <c r="J5601" i="18"/>
  <c r="I5601" i="18"/>
  <c r="H5601" i="18"/>
  <c r="D5601" i="18"/>
  <c r="D5600" i="18"/>
  <c r="D5599" i="18"/>
  <c r="D5598" i="18"/>
  <c r="D5597" i="18"/>
  <c r="D5596" i="18"/>
  <c r="R5595" i="18"/>
  <c r="Q5595" i="18"/>
  <c r="D5595" i="18"/>
  <c r="D5594" i="18"/>
  <c r="D5593" i="18"/>
  <c r="D5592" i="18"/>
  <c r="D5591" i="18"/>
  <c r="R5590" i="18"/>
  <c r="Q5590" i="18"/>
  <c r="D5590" i="18"/>
  <c r="D5589" i="18"/>
  <c r="D5588" i="18"/>
  <c r="D5587" i="18"/>
  <c r="D5586" i="18"/>
  <c r="D5585" i="18"/>
  <c r="D5584" i="18"/>
  <c r="D5583" i="18"/>
  <c r="D5582" i="18"/>
  <c r="D5577" i="18"/>
  <c r="G5577" i="18" s="1"/>
  <c r="D5620" i="18"/>
  <c r="K5619" i="18"/>
  <c r="J5619" i="18"/>
  <c r="I5619" i="18"/>
  <c r="H5619" i="18"/>
  <c r="D5619" i="18"/>
  <c r="D5618" i="18"/>
  <c r="D5617" i="18"/>
  <c r="D5616" i="18"/>
  <c r="D5615" i="18"/>
  <c r="D5614" i="18"/>
  <c r="D5613" i="18"/>
  <c r="K5612" i="18"/>
  <c r="J5612" i="18"/>
  <c r="I5612" i="18"/>
  <c r="H5612" i="18"/>
  <c r="D5612" i="18"/>
  <c r="D5611" i="18"/>
  <c r="D5610" i="18"/>
  <c r="D5609" i="18"/>
  <c r="D5608" i="18"/>
  <c r="D5607" i="18"/>
  <c r="D5606" i="18"/>
  <c r="D5603" i="18"/>
  <c r="G5603" i="18" s="1"/>
  <c r="D5575" i="18"/>
  <c r="D5574" i="18"/>
  <c r="D5573" i="18"/>
  <c r="D5572" i="18"/>
  <c r="D5571" i="18"/>
  <c r="D5570" i="18"/>
  <c r="D5569" i="18"/>
  <c r="D5568" i="18"/>
  <c r="D5567" i="18"/>
  <c r="D5566" i="18"/>
  <c r="D5565" i="18"/>
  <c r="D5564" i="18"/>
  <c r="D5563" i="18"/>
  <c r="D5562" i="18"/>
  <c r="K5559" i="18"/>
  <c r="D5559" i="18"/>
  <c r="G5559" i="18" s="1"/>
  <c r="K5550" i="18"/>
  <c r="D5557" i="18"/>
  <c r="D5556" i="18"/>
  <c r="D5555" i="18"/>
  <c r="D5554" i="18"/>
  <c r="D5553" i="18"/>
  <c r="J5499" i="18"/>
  <c r="I5499" i="18"/>
  <c r="H5499" i="18"/>
  <c r="K5498" i="18"/>
  <c r="K5497" i="18"/>
  <c r="J5496" i="18"/>
  <c r="I5496" i="18"/>
  <c r="H5496" i="18"/>
  <c r="K5495" i="18"/>
  <c r="K5494" i="18"/>
  <c r="K5491" i="18"/>
  <c r="K5490" i="18"/>
  <c r="K5489" i="18"/>
  <c r="K5487" i="18"/>
  <c r="K5486" i="18"/>
  <c r="J5485" i="18"/>
  <c r="J5492" i="18" s="1"/>
  <c r="I5485" i="18"/>
  <c r="I5492" i="18" s="1"/>
  <c r="H5485" i="18"/>
  <c r="H5492" i="18" s="1"/>
  <c r="K5483" i="18"/>
  <c r="K5482" i="18"/>
  <c r="K5481" i="18"/>
  <c r="J5480" i="18"/>
  <c r="I5480" i="18"/>
  <c r="H5480" i="18"/>
  <c r="K5479" i="18"/>
  <c r="K5477" i="18"/>
  <c r="K5476" i="18"/>
  <c r="J5475" i="18"/>
  <c r="I5475" i="18"/>
  <c r="H5475" i="18"/>
  <c r="K5474" i="18"/>
  <c r="K5473" i="18"/>
  <c r="K5472" i="18"/>
  <c r="K5471" i="18"/>
  <c r="K5469" i="18"/>
  <c r="J5468" i="18"/>
  <c r="I5468" i="18"/>
  <c r="H5468" i="18"/>
  <c r="K5467" i="18"/>
  <c r="K5465" i="18"/>
  <c r="K5464" i="18"/>
  <c r="J5463" i="18"/>
  <c r="I5463" i="18"/>
  <c r="H5463" i="18"/>
  <c r="D5456" i="18"/>
  <c r="G5456" i="18" s="1"/>
  <c r="C5455" i="18"/>
  <c r="G5455" i="18" s="1"/>
  <c r="K5421" i="18"/>
  <c r="D5421" i="18"/>
  <c r="G5421" i="18" s="1"/>
  <c r="D5387" i="18"/>
  <c r="G5387" i="18" s="1"/>
  <c r="M5385" i="18"/>
  <c r="L5385" i="18"/>
  <c r="K5385" i="18"/>
  <c r="J5385" i="18"/>
  <c r="I5385" i="18"/>
  <c r="H5385" i="18"/>
  <c r="D5385" i="18"/>
  <c r="D5384" i="18"/>
  <c r="D5383" i="18"/>
  <c r="D5382" i="18"/>
  <c r="D5381" i="18"/>
  <c r="D5380" i="18"/>
  <c r="D5379" i="18"/>
  <c r="D5378" i="18"/>
  <c r="D5377" i="18"/>
  <c r="D5376" i="18"/>
  <c r="N5371" i="18"/>
  <c r="K5371" i="18"/>
  <c r="D5371" i="18"/>
  <c r="G5371" i="18" s="1"/>
  <c r="M5369" i="18"/>
  <c r="L5369" i="18"/>
  <c r="K5369" i="18"/>
  <c r="J5369" i="18"/>
  <c r="I5369" i="18"/>
  <c r="H5369" i="18"/>
  <c r="D5369" i="18"/>
  <c r="D5368" i="18"/>
  <c r="D5367" i="18"/>
  <c r="D5366" i="18"/>
  <c r="D5365" i="18"/>
  <c r="D5364" i="18"/>
  <c r="D5363" i="18"/>
  <c r="D5362" i="18"/>
  <c r="D5361" i="18"/>
  <c r="D5360" i="18"/>
  <c r="N5355" i="18"/>
  <c r="K5355" i="18"/>
  <c r="D5355" i="18"/>
  <c r="G5355" i="18" s="1"/>
  <c r="L5353" i="18"/>
  <c r="K5353" i="18"/>
  <c r="J5353" i="18"/>
  <c r="I5353" i="18"/>
  <c r="N5338" i="18" s="1"/>
  <c r="H5353" i="18"/>
  <c r="K5338" i="18" s="1"/>
  <c r="D5353" i="18"/>
  <c r="D5352" i="18"/>
  <c r="D5351" i="18"/>
  <c r="D5350" i="18"/>
  <c r="D5349" i="18"/>
  <c r="D5348" i="18"/>
  <c r="D5347" i="18"/>
  <c r="D5346" i="18"/>
  <c r="D5345" i="18"/>
  <c r="D5344" i="18"/>
  <c r="D5343" i="18"/>
  <c r="D5338" i="18"/>
  <c r="G5338" i="18" s="1"/>
  <c r="D5321" i="18"/>
  <c r="G5321" i="18" s="1"/>
  <c r="C5320" i="18"/>
  <c r="G5320" i="18" s="1"/>
  <c r="I5773" i="18"/>
  <c r="K5762" i="18" s="1"/>
  <c r="H5773" i="18"/>
  <c r="D5773" i="18"/>
  <c r="D5772" i="18"/>
  <c r="D5771" i="18"/>
  <c r="D5770" i="18"/>
  <c r="D5769" i="18"/>
  <c r="D5768" i="18"/>
  <c r="D5767" i="18"/>
  <c r="D5766" i="18"/>
  <c r="D5765" i="18"/>
  <c r="D5762" i="18"/>
  <c r="G5762" i="18" s="1"/>
  <c r="J5760" i="18"/>
  <c r="I5760" i="18"/>
  <c r="N5747" i="18" s="1"/>
  <c r="H5760" i="18"/>
  <c r="K5747" i="18" s="1"/>
  <c r="D5760" i="18"/>
  <c r="D5759" i="18"/>
  <c r="D5758" i="18"/>
  <c r="D5757" i="18"/>
  <c r="D5756" i="18"/>
  <c r="D5755" i="18"/>
  <c r="D5754" i="18"/>
  <c r="D5753" i="18"/>
  <c r="D5752" i="18"/>
  <c r="D5747" i="18"/>
  <c r="G5747" i="18" s="1"/>
  <c r="I5744" i="18"/>
  <c r="H5744" i="18"/>
  <c r="D5744" i="18"/>
  <c r="D5743" i="18"/>
  <c r="D5742" i="18"/>
  <c r="D5739" i="18"/>
  <c r="G5739" i="18" s="1"/>
  <c r="J5737" i="18"/>
  <c r="I5737" i="18"/>
  <c r="D5737" i="18"/>
  <c r="D5736" i="18"/>
  <c r="D5735" i="18"/>
  <c r="D5734" i="18"/>
  <c r="D5733" i="18"/>
  <c r="D5732" i="18"/>
  <c r="D5729" i="18"/>
  <c r="G5729" i="18" s="1"/>
  <c r="H5727" i="18"/>
  <c r="D5727" i="18"/>
  <c r="D5726" i="18"/>
  <c r="D5725" i="18"/>
  <c r="D5724" i="18"/>
  <c r="D5723" i="18"/>
  <c r="D5722" i="18"/>
  <c r="D5719" i="18"/>
  <c r="G5719" i="18" s="1"/>
  <c r="H5717" i="18"/>
  <c r="D5717" i="18"/>
  <c r="D5716" i="18"/>
  <c r="D5715" i="18"/>
  <c r="D5714" i="18"/>
  <c r="D5713" i="18"/>
  <c r="D5712" i="18"/>
  <c r="D5709" i="18"/>
  <c r="G5709" i="18" s="1"/>
  <c r="H5707" i="18"/>
  <c r="D5707" i="18"/>
  <c r="D5706" i="18"/>
  <c r="D5705" i="18"/>
  <c r="D5704" i="18"/>
  <c r="D5703" i="18"/>
  <c r="D5702" i="18"/>
  <c r="D5699" i="18"/>
  <c r="G5699" i="18" s="1"/>
  <c r="H5697" i="18"/>
  <c r="D5697" i="18"/>
  <c r="D5696" i="18"/>
  <c r="D5695" i="18"/>
  <c r="D5694" i="18"/>
  <c r="D5693" i="18"/>
  <c r="D5692" i="18"/>
  <c r="D5689" i="18"/>
  <c r="G5689" i="18" s="1"/>
  <c r="J5687" i="18"/>
  <c r="I5687" i="18"/>
  <c r="D5687" i="18"/>
  <c r="D5686" i="18"/>
  <c r="D5685" i="18"/>
  <c r="D5684" i="18"/>
  <c r="D5683" i="18"/>
  <c r="D5682" i="18"/>
  <c r="D5679" i="18"/>
  <c r="G5679" i="18" s="1"/>
  <c r="J5677" i="18"/>
  <c r="I5677" i="18"/>
  <c r="D5677" i="18"/>
  <c r="D5676" i="18"/>
  <c r="D5675" i="18"/>
  <c r="D5674" i="18"/>
  <c r="D5673" i="18"/>
  <c r="D5672" i="18"/>
  <c r="D5669" i="18"/>
  <c r="G5669" i="18" s="1"/>
  <c r="M5667" i="18"/>
  <c r="D5667" i="18"/>
  <c r="D5666" i="18"/>
  <c r="D5665" i="18"/>
  <c r="D5664" i="18"/>
  <c r="D5663" i="18"/>
  <c r="D5662" i="18"/>
  <c r="D5659" i="18"/>
  <c r="G5659" i="18" s="1"/>
  <c r="M5657" i="18"/>
  <c r="D5657" i="18"/>
  <c r="D5656" i="18"/>
  <c r="D5655" i="18"/>
  <c r="D5654" i="18"/>
  <c r="D5653" i="18"/>
  <c r="D5652" i="18"/>
  <c r="D5649" i="18"/>
  <c r="G5649" i="18" s="1"/>
  <c r="J5647" i="18"/>
  <c r="N5636" i="18" s="1"/>
  <c r="I5647" i="18"/>
  <c r="K5636" i="18" s="1"/>
  <c r="D5647" i="18"/>
  <c r="D5646" i="18"/>
  <c r="D5645" i="18"/>
  <c r="D5644" i="18"/>
  <c r="D5643" i="18"/>
  <c r="D5642" i="18"/>
  <c r="D5641" i="18"/>
  <c r="D5640" i="18"/>
  <c r="D5639" i="18"/>
  <c r="D5636" i="18"/>
  <c r="G5636" i="18" s="1"/>
  <c r="J5634" i="18"/>
  <c r="I5634" i="18"/>
  <c r="N5623" i="18" s="1"/>
  <c r="D5634" i="18"/>
  <c r="D5633" i="18"/>
  <c r="D5632" i="18"/>
  <c r="D5631" i="18"/>
  <c r="D5630" i="18"/>
  <c r="D5629" i="18"/>
  <c r="D5628" i="18"/>
  <c r="D5627" i="18"/>
  <c r="D5626" i="18"/>
  <c r="K5623" i="18"/>
  <c r="D5623" i="18"/>
  <c r="G5623" i="18" s="1"/>
  <c r="C5622" i="18"/>
  <c r="G5622" i="18" s="1"/>
  <c r="D5210" i="18"/>
  <c r="G5210" i="18" s="1"/>
  <c r="C5209" i="18"/>
  <c r="G5209" i="18" s="1"/>
  <c r="H5207" i="18"/>
  <c r="D5207" i="18"/>
  <c r="D5206" i="18"/>
  <c r="D5205" i="18"/>
  <c r="D5204" i="18"/>
  <c r="D5203" i="18"/>
  <c r="D5202" i="18"/>
  <c r="D5201" i="18"/>
  <c r="D5200" i="18"/>
  <c r="D5199" i="18"/>
  <c r="D5196" i="18"/>
  <c r="G5196" i="18" s="1"/>
  <c r="C5195" i="18"/>
  <c r="G5195" i="18" s="1"/>
  <c r="H5193" i="18"/>
  <c r="D5193" i="18"/>
  <c r="D5192" i="18"/>
  <c r="D5191" i="18"/>
  <c r="D5190" i="18"/>
  <c r="D5189" i="18"/>
  <c r="D5188" i="18"/>
  <c r="D5185" i="18"/>
  <c r="G5185" i="18" s="1"/>
  <c r="C5184" i="18"/>
  <c r="G5184" i="18" s="1"/>
  <c r="H5182" i="18"/>
  <c r="D5182" i="18"/>
  <c r="D5181" i="18"/>
  <c r="D5180" i="18"/>
  <c r="D5179" i="18"/>
  <c r="D5178" i="18"/>
  <c r="D5177" i="18"/>
  <c r="D5174" i="18"/>
  <c r="G5174" i="18" s="1"/>
  <c r="D5172" i="18"/>
  <c r="D5171" i="18"/>
  <c r="D5170" i="18"/>
  <c r="D5169" i="18"/>
  <c r="D5168" i="18"/>
  <c r="D5167" i="18"/>
  <c r="D5166" i="18"/>
  <c r="D5165" i="18"/>
  <c r="D5164" i="18"/>
  <c r="D5163" i="18"/>
  <c r="D5162" i="18"/>
  <c r="I5161" i="18"/>
  <c r="I5170" i="18" s="1"/>
  <c r="H5161" i="18"/>
  <c r="D5161" i="18"/>
  <c r="D5158" i="18"/>
  <c r="G5158" i="18" s="1"/>
  <c r="H5156" i="18"/>
  <c r="D5156" i="18"/>
  <c r="D5155" i="18"/>
  <c r="D5154" i="18"/>
  <c r="D5153" i="18"/>
  <c r="D5152" i="18"/>
  <c r="D5151" i="18"/>
  <c r="D5148" i="18"/>
  <c r="G5148" i="18" s="1"/>
  <c r="H5146" i="18"/>
  <c r="D5146" i="18"/>
  <c r="D5145" i="18"/>
  <c r="D5144" i="18"/>
  <c r="D5143" i="18"/>
  <c r="D5142" i="18"/>
  <c r="D5141" i="18"/>
  <c r="D5138" i="18"/>
  <c r="G5138" i="18" s="1"/>
  <c r="G5135" i="18"/>
  <c r="G5134" i="18"/>
  <c r="G5133" i="18"/>
  <c r="G5132" i="18"/>
  <c r="D5129" i="18"/>
  <c r="G5129" i="18" s="1"/>
  <c r="G5126" i="18"/>
  <c r="G5125" i="18"/>
  <c r="G5124" i="18"/>
  <c r="D5121" i="18"/>
  <c r="G5121" i="18" s="1"/>
  <c r="G5117" i="18"/>
  <c r="G5116" i="18"/>
  <c r="G5115" i="18"/>
  <c r="G5114" i="18"/>
  <c r="G5113" i="18"/>
  <c r="G5112" i="18"/>
  <c r="G5111" i="18"/>
  <c r="G5110" i="18"/>
  <c r="G5109" i="18"/>
  <c r="G5108" i="18"/>
  <c r="G5107" i="18"/>
  <c r="G5106" i="18"/>
  <c r="G5105" i="18"/>
  <c r="G5104" i="18"/>
  <c r="G5101" i="18"/>
  <c r="D5098" i="18"/>
  <c r="G5098" i="18" s="1"/>
  <c r="C5097" i="18"/>
  <c r="G5097" i="18" s="1"/>
  <c r="I5095" i="18"/>
  <c r="N5087" i="18" s="1"/>
  <c r="H5095" i="18"/>
  <c r="K5087" i="18" s="1"/>
  <c r="D5095" i="18"/>
  <c r="D5094" i="18"/>
  <c r="D5093" i="18"/>
  <c r="D5092" i="18"/>
  <c r="D5091" i="18"/>
  <c r="D5090" i="18"/>
  <c r="D5087" i="18"/>
  <c r="G5087" i="18" s="1"/>
  <c r="C5086" i="18"/>
  <c r="G5086" i="18" s="1"/>
  <c r="I5084" i="18"/>
  <c r="N5076" i="18" s="1"/>
  <c r="H5084" i="18"/>
  <c r="K5076" i="18" s="1"/>
  <c r="D5084" i="18"/>
  <c r="D5083" i="18"/>
  <c r="D5082" i="18"/>
  <c r="D5081" i="18"/>
  <c r="D5080" i="18"/>
  <c r="D5079" i="18"/>
  <c r="D5076" i="18"/>
  <c r="G5076" i="18" s="1"/>
  <c r="C5075" i="18"/>
  <c r="G5075" i="18" s="1"/>
  <c r="I5073" i="18"/>
  <c r="N5065" i="18" s="1"/>
  <c r="H5073" i="18"/>
  <c r="D5073" i="18"/>
  <c r="D5072" i="18"/>
  <c r="D5071" i="18"/>
  <c r="D5070" i="18"/>
  <c r="D5069" i="18"/>
  <c r="D5068" i="18"/>
  <c r="D5065" i="18"/>
  <c r="G5065" i="18" s="1"/>
  <c r="C5064" i="18"/>
  <c r="G5064" i="18" s="1"/>
  <c r="I5062" i="18"/>
  <c r="N5054" i="18" s="1"/>
  <c r="H5062" i="18"/>
  <c r="K5054" i="18" s="1"/>
  <c r="D5062" i="18"/>
  <c r="D5061" i="18"/>
  <c r="D5060" i="18"/>
  <c r="D5059" i="18"/>
  <c r="D5058" i="18"/>
  <c r="D5057" i="18"/>
  <c r="D5054" i="18"/>
  <c r="G5054" i="18" s="1"/>
  <c r="C5053" i="18"/>
  <c r="G5053" i="18" s="1"/>
  <c r="I5051" i="18"/>
  <c r="N5038" i="18" s="1"/>
  <c r="H5051" i="18"/>
  <c r="K5038" i="18" s="1"/>
  <c r="D5051" i="18"/>
  <c r="D5050" i="18"/>
  <c r="D5049" i="18"/>
  <c r="D5048" i="18"/>
  <c r="D5047" i="18"/>
  <c r="D5046" i="18"/>
  <c r="D5045" i="18"/>
  <c r="D5044" i="18"/>
  <c r="D5043" i="18"/>
  <c r="D5042" i="18"/>
  <c r="D5041" i="18"/>
  <c r="D5038" i="18"/>
  <c r="G5038" i="18" s="1"/>
  <c r="C5037" i="18"/>
  <c r="G5037" i="18" s="1"/>
  <c r="I5035" i="18"/>
  <c r="N5022" i="18" s="1"/>
  <c r="H5035" i="18"/>
  <c r="K5022" i="18" s="1"/>
  <c r="D5035" i="18"/>
  <c r="D5034" i="18"/>
  <c r="D5033" i="18"/>
  <c r="D5032" i="18"/>
  <c r="D5031" i="18"/>
  <c r="D5030" i="18"/>
  <c r="D5029" i="18"/>
  <c r="D5028" i="18"/>
  <c r="D5027" i="18"/>
  <c r="D5026" i="18"/>
  <c r="D5025" i="18"/>
  <c r="D5022" i="18"/>
  <c r="G5022" i="18" s="1"/>
  <c r="C5021" i="18"/>
  <c r="G5021" i="18" s="1"/>
  <c r="C5020" i="18"/>
  <c r="G5020" i="18" s="1"/>
  <c r="L5018" i="18"/>
  <c r="K5018" i="18"/>
  <c r="J5018" i="18"/>
  <c r="I5018" i="18"/>
  <c r="H5018" i="18"/>
  <c r="D5018" i="18"/>
  <c r="D5017" i="18"/>
  <c r="D5016" i="18"/>
  <c r="D5015" i="18"/>
  <c r="D5014" i="18"/>
  <c r="D5013" i="18"/>
  <c r="D5010" i="18"/>
  <c r="G5010" i="18" s="1"/>
  <c r="N5008" i="18"/>
  <c r="M5008" i="18"/>
  <c r="L5008" i="18"/>
  <c r="J5008" i="18"/>
  <c r="I5008" i="18"/>
  <c r="H5008" i="18"/>
  <c r="D5008" i="18"/>
  <c r="K5007" i="18"/>
  <c r="D5007" i="18"/>
  <c r="K5006" i="18"/>
  <c r="D5006" i="18"/>
  <c r="K5005" i="18"/>
  <c r="D5005" i="18"/>
  <c r="K5004" i="18"/>
  <c r="D5004" i="18"/>
  <c r="K5003" i="18"/>
  <c r="D5003" i="18"/>
  <c r="D5000" i="18"/>
  <c r="G5000" i="18" s="1"/>
  <c r="I4998" i="18"/>
  <c r="N4986" i="18" s="1"/>
  <c r="H4998" i="18"/>
  <c r="D4998" i="18"/>
  <c r="D4997" i="18"/>
  <c r="D4996" i="18"/>
  <c r="D4995" i="18"/>
  <c r="D4994" i="18"/>
  <c r="D4993" i="18"/>
  <c r="D4992" i="18"/>
  <c r="D4991" i="18"/>
  <c r="D4990" i="18"/>
  <c r="D4989" i="18"/>
  <c r="K4986" i="18"/>
  <c r="D4986" i="18"/>
  <c r="G4986" i="18" s="1"/>
  <c r="C4985" i="18"/>
  <c r="G4985" i="18" s="1"/>
  <c r="N4967" i="18"/>
  <c r="D4967" i="18"/>
  <c r="G4967" i="18" s="1"/>
  <c r="I4965" i="18"/>
  <c r="N4959" i="18" s="1"/>
  <c r="H4965" i="18"/>
  <c r="K4959" i="18" s="1"/>
  <c r="D4965" i="18"/>
  <c r="D4964" i="18"/>
  <c r="D4963" i="18"/>
  <c r="D4962" i="18"/>
  <c r="D4959" i="18"/>
  <c r="G4959" i="18" s="1"/>
  <c r="C4958" i="18"/>
  <c r="G4958" i="18" s="1"/>
  <c r="J4956" i="18"/>
  <c r="I4956" i="18"/>
  <c r="H4956" i="18"/>
  <c r="K4946" i="18" s="1"/>
  <c r="D4956" i="18"/>
  <c r="D4955" i="18"/>
  <c r="D4954" i="18"/>
  <c r="D4953" i="18"/>
  <c r="D4952" i="18"/>
  <c r="D4951" i="18"/>
  <c r="D4950" i="18"/>
  <c r="D4949" i="18"/>
  <c r="D4946" i="18"/>
  <c r="G4946" i="18" s="1"/>
  <c r="C4945" i="18"/>
  <c r="G4945" i="18" s="1"/>
  <c r="G4939" i="18"/>
  <c r="I4936" i="18"/>
  <c r="I4940" i="18" s="1"/>
  <c r="H4936" i="18"/>
  <c r="K4928" i="18" s="1"/>
  <c r="D4936" i="18"/>
  <c r="D4935" i="18"/>
  <c r="D4934" i="18"/>
  <c r="D4933" i="18"/>
  <c r="D4932" i="18"/>
  <c r="D4931" i="18"/>
  <c r="D4928" i="18"/>
  <c r="G4928" i="18" s="1"/>
  <c r="J4926" i="18"/>
  <c r="I4926" i="18"/>
  <c r="N4915" i="18" s="1"/>
  <c r="H4926" i="18"/>
  <c r="K4915" i="18" s="1"/>
  <c r="D4926" i="18"/>
  <c r="D4925" i="18"/>
  <c r="D4924" i="18"/>
  <c r="D4923" i="18"/>
  <c r="D4922" i="18"/>
  <c r="D4921" i="18"/>
  <c r="D4920" i="18"/>
  <c r="D4919" i="18"/>
  <c r="D4918" i="18"/>
  <c r="D4915" i="18"/>
  <c r="G4915" i="18" s="1"/>
  <c r="H4938" i="18" s="1"/>
  <c r="C4914" i="18"/>
  <c r="G4914" i="18" s="1"/>
  <c r="I4912" i="18"/>
  <c r="N4900" i="18" s="1"/>
  <c r="H4912" i="18"/>
  <c r="K4900" i="18" s="1"/>
  <c r="D4912" i="18"/>
  <c r="D4911" i="18"/>
  <c r="D4910" i="18"/>
  <c r="D4909" i="18"/>
  <c r="D4908" i="18"/>
  <c r="D4907" i="18"/>
  <c r="D4906" i="18"/>
  <c r="D4905" i="18"/>
  <c r="D4904" i="18"/>
  <c r="D4903" i="18"/>
  <c r="D4900" i="18"/>
  <c r="G4900" i="18" s="1"/>
  <c r="C4899" i="18"/>
  <c r="G4899" i="18" s="1"/>
  <c r="I4897" i="18"/>
  <c r="N4878" i="18" s="1"/>
  <c r="H4897" i="18"/>
  <c r="D4897" i="18"/>
  <c r="D4896" i="18"/>
  <c r="D4895" i="18"/>
  <c r="D4894" i="18"/>
  <c r="D4893" i="18"/>
  <c r="D4892" i="18"/>
  <c r="D4891" i="18"/>
  <c r="D4890" i="18"/>
  <c r="D4889" i="18"/>
  <c r="D4888" i="18"/>
  <c r="D4887" i="18"/>
  <c r="D4886" i="18"/>
  <c r="D4885" i="18"/>
  <c r="D4884" i="18"/>
  <c r="D4883" i="18"/>
  <c r="D4882" i="18"/>
  <c r="D4881" i="18"/>
  <c r="D4878" i="18"/>
  <c r="G4878" i="18" s="1"/>
  <c r="C4877" i="18"/>
  <c r="G4877" i="18" s="1"/>
  <c r="I4875" i="18"/>
  <c r="N4864" i="18" s="1"/>
  <c r="H4875" i="18"/>
  <c r="K4864" i="18" s="1"/>
  <c r="D4875" i="18"/>
  <c r="D4874" i="18"/>
  <c r="D4873" i="18"/>
  <c r="D4872" i="18"/>
  <c r="D4871" i="18"/>
  <c r="D4870" i="18"/>
  <c r="D4869" i="18"/>
  <c r="D4868" i="18"/>
  <c r="D4867" i="18"/>
  <c r="D4864" i="18"/>
  <c r="G4864" i="18" s="1"/>
  <c r="C4863" i="18"/>
  <c r="G4863" i="18" s="1"/>
  <c r="N4850" i="18"/>
  <c r="K4850" i="18"/>
  <c r="D4850" i="18"/>
  <c r="G4850" i="18" s="1"/>
  <c r="C4836" i="18"/>
  <c r="G4836" i="18" s="1"/>
  <c r="I4834" i="18"/>
  <c r="N4823" i="18" s="1"/>
  <c r="H4834" i="18"/>
  <c r="K4823" i="18" s="1"/>
  <c r="D4834" i="18"/>
  <c r="D4833" i="18"/>
  <c r="D4832" i="18"/>
  <c r="D4831" i="18"/>
  <c r="D4830" i="18"/>
  <c r="D4829" i="18"/>
  <c r="D4828" i="18"/>
  <c r="D4827" i="18"/>
  <c r="D4826" i="18"/>
  <c r="D4823" i="18"/>
  <c r="G4823" i="18" s="1"/>
  <c r="C4822" i="18"/>
  <c r="G4822" i="18" s="1"/>
  <c r="I4820" i="18"/>
  <c r="N4801" i="18" s="1"/>
  <c r="H4820" i="18"/>
  <c r="K4801" i="18" s="1"/>
  <c r="D4820" i="18"/>
  <c r="D4819" i="18"/>
  <c r="D4818" i="18"/>
  <c r="D4817" i="18"/>
  <c r="D4816" i="18"/>
  <c r="D4815" i="18"/>
  <c r="D4814" i="18"/>
  <c r="D4813" i="18"/>
  <c r="D4812" i="18"/>
  <c r="D4811" i="18"/>
  <c r="D4810" i="18"/>
  <c r="D4809" i="18"/>
  <c r="D4808" i="18"/>
  <c r="D4807" i="18"/>
  <c r="D4806" i="18"/>
  <c r="D4805" i="18"/>
  <c r="D4804" i="18"/>
  <c r="D4801" i="18"/>
  <c r="G4801" i="18" s="1"/>
  <c r="C4800" i="18"/>
  <c r="G4800"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H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2"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s="1"/>
  <c r="G38" i="12"/>
  <c r="E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D27" i="12"/>
  <c r="AC27" i="12"/>
  <c r="J27" i="12"/>
  <c r="G27" i="12" s="1"/>
  <c r="E27" i="12"/>
  <c r="C27" i="12"/>
  <c r="R27" i="12" s="1"/>
  <c r="AD26" i="12"/>
  <c r="AC26" i="12"/>
  <c r="J26" i="12"/>
  <c r="D26" i="12" s="1"/>
  <c r="G26" i="12"/>
  <c r="E26" i="12"/>
  <c r="C26" i="12"/>
  <c r="Q26" i="12" s="1"/>
  <c r="AE26" i="12" s="1"/>
  <c r="AD25" i="12"/>
  <c r="AC25" i="12"/>
  <c r="J25" i="12"/>
  <c r="G25" i="12" s="1"/>
  <c r="E25" i="12"/>
  <c r="C25" i="12"/>
  <c r="AD24" i="12"/>
  <c r="AC24" i="12"/>
  <c r="J24" i="12"/>
  <c r="G24" i="12"/>
  <c r="E24" i="12"/>
  <c r="D24" i="12"/>
  <c r="C24" i="12"/>
  <c r="R24" i="12" s="1"/>
  <c r="AD23" i="12"/>
  <c r="AC23" i="12"/>
  <c r="J23" i="12"/>
  <c r="E23" i="12"/>
  <c r="C23" i="12"/>
  <c r="R23" i="12" s="1"/>
  <c r="AD22" i="12"/>
  <c r="AC22" i="12"/>
  <c r="J22" i="12"/>
  <c r="D22" i="12" s="1"/>
  <c r="G22" i="12"/>
  <c r="E22" i="12"/>
  <c r="C22" i="12"/>
  <c r="Q22" i="12" s="1"/>
  <c r="AE22" i="12" s="1"/>
  <c r="AD21" i="12"/>
  <c r="AC21" i="12"/>
  <c r="J21" i="12"/>
  <c r="G21" i="12" s="1"/>
  <c r="E21" i="12"/>
  <c r="D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D11" i="12"/>
  <c r="AC11" i="12"/>
  <c r="J11" i="12"/>
  <c r="G11" i="12" s="1"/>
  <c r="E11" i="12"/>
  <c r="C11" i="12"/>
  <c r="R11" i="12" s="1"/>
  <c r="AD10" i="12"/>
  <c r="AC10" i="12"/>
  <c r="J10" i="12"/>
  <c r="D10" i="12" s="1"/>
  <c r="G10" i="12"/>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D36" i="11"/>
  <c r="AC36" i="11"/>
  <c r="J36" i="11"/>
  <c r="E36" i="11"/>
  <c r="C36" i="11"/>
  <c r="R36" i="11" s="1"/>
  <c r="AD35" i="11"/>
  <c r="AC35" i="11"/>
  <c r="J35" i="11"/>
  <c r="D35" i="11" s="1"/>
  <c r="G35" i="11"/>
  <c r="E35" i="11"/>
  <c r="C35" i="11"/>
  <c r="Q35" i="11" s="1"/>
  <c r="AE35" i="11" s="1"/>
  <c r="AD34" i="11"/>
  <c r="AC34" i="11"/>
  <c r="J34" i="11"/>
  <c r="G34" i="11" s="1"/>
  <c r="E34" i="11"/>
  <c r="D34" i="11"/>
  <c r="C34" i="11"/>
  <c r="AD33" i="11"/>
  <c r="AC33" i="11"/>
  <c r="J33" i="11"/>
  <c r="D33" i="11" s="1"/>
  <c r="G33" i="11"/>
  <c r="E33" i="11"/>
  <c r="C33" i="11"/>
  <c r="R33" i="11" s="1"/>
  <c r="AD32" i="11"/>
  <c r="AC32" i="11"/>
  <c r="J32" i="11"/>
  <c r="G32" i="11" s="1"/>
  <c r="E32" i="11"/>
  <c r="D32" i="11"/>
  <c r="C32" i="11"/>
  <c r="R32" i="11" s="1"/>
  <c r="AD31" i="11"/>
  <c r="AC31" i="11"/>
  <c r="J31" i="11"/>
  <c r="E31" i="11"/>
  <c r="C31" i="11"/>
  <c r="Q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D19" i="11" s="1"/>
  <c r="G19" i="11"/>
  <c r="E19" i="11"/>
  <c r="C19" i="11"/>
  <c r="Q19" i="11" s="1"/>
  <c r="AE19" i="11" s="1"/>
  <c r="AD18" i="11"/>
  <c r="AC18" i="11"/>
  <c r="J18" i="11"/>
  <c r="G18" i="11" s="1"/>
  <c r="E18" i="11"/>
  <c r="D18" i="11"/>
  <c r="C18" i="11"/>
  <c r="AD17" i="11"/>
  <c r="AC17" i="11"/>
  <c r="J17" i="11"/>
  <c r="D17" i="11" s="1"/>
  <c r="G17" i="11"/>
  <c r="E17" i="11"/>
  <c r="C17" i="11"/>
  <c r="Q17" i="11" s="1"/>
  <c r="AE17" i="11" s="1"/>
  <c r="AD16" i="11"/>
  <c r="AC16" i="11"/>
  <c r="J16" i="11"/>
  <c r="G16" i="11" s="1"/>
  <c r="E16" i="11"/>
  <c r="D16" i="11"/>
  <c r="C16" i="11"/>
  <c r="R16" i="11" s="1"/>
  <c r="AD15" i="11"/>
  <c r="AC15" i="11"/>
  <c r="J15" i="11"/>
  <c r="E15" i="11"/>
  <c r="C15" i="11"/>
  <c r="Q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E38" i="13"/>
  <c r="C38" i="13"/>
  <c r="B38" i="13" s="1"/>
  <c r="Q37" i="13"/>
  <c r="N37" i="13"/>
  <c r="J37" i="13"/>
  <c r="G37" i="13" s="1"/>
  <c r="E37" i="13"/>
  <c r="D37" i="13"/>
  <c r="C37" i="13"/>
  <c r="Q36" i="13"/>
  <c r="N36" i="13"/>
  <c r="T36" i="13" s="1"/>
  <c r="J36" i="13"/>
  <c r="E36" i="13"/>
  <c r="C36" i="13"/>
  <c r="Q35" i="13"/>
  <c r="N35" i="13"/>
  <c r="J35" i="13"/>
  <c r="G35" i="13" s="1"/>
  <c r="E35" i="13"/>
  <c r="C35" i="13"/>
  <c r="Q34" i="13"/>
  <c r="N34" i="13"/>
  <c r="T34" i="13" s="1"/>
  <c r="J34" i="13"/>
  <c r="G34" i="13"/>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G24" i="13"/>
  <c r="E24" i="13"/>
  <c r="C24" i="13"/>
  <c r="Q23" i="13"/>
  <c r="N23" i="13"/>
  <c r="J23" i="13"/>
  <c r="G23" i="13" s="1"/>
  <c r="E23" i="13"/>
  <c r="C23" i="13"/>
  <c r="Q22" i="13"/>
  <c r="N22" i="13"/>
  <c r="T22" i="13" s="1"/>
  <c r="J22" i="13"/>
  <c r="E22" i="13"/>
  <c r="C22" i="13"/>
  <c r="Q21" i="13"/>
  <c r="N21" i="13"/>
  <c r="J21" i="13"/>
  <c r="G21" i="13" s="1"/>
  <c r="E21" i="13"/>
  <c r="D21" i="13"/>
  <c r="C21" i="13"/>
  <c r="Q20" i="13"/>
  <c r="N20" i="13"/>
  <c r="T20" i="13" s="1"/>
  <c r="J20" i="13"/>
  <c r="E20" i="13"/>
  <c r="C20" i="13"/>
  <c r="Q19" i="13"/>
  <c r="N19" i="13"/>
  <c r="J19" i="13"/>
  <c r="G19" i="13" s="1"/>
  <c r="E19" i="13"/>
  <c r="C19" i="13"/>
  <c r="Q18" i="13"/>
  <c r="N18" i="13"/>
  <c r="T18" i="13" s="1"/>
  <c r="J18" i="13"/>
  <c r="G18" i="13"/>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D3" i="13" s="1"/>
  <c r="G3" i="13"/>
  <c r="E3" i="13"/>
  <c r="F3" i="13" s="1"/>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G35" i="6"/>
  <c r="E35" i="6"/>
  <c r="C35" i="6"/>
  <c r="R35" i="6" s="1"/>
  <c r="AD34" i="6"/>
  <c r="AC34" i="6"/>
  <c r="J34" i="6"/>
  <c r="G34" i="6" s="1"/>
  <c r="E34" i="6"/>
  <c r="C34" i="6"/>
  <c r="Q34" i="6" s="1"/>
  <c r="AD33" i="6"/>
  <c r="AC33" i="6"/>
  <c r="J33" i="6"/>
  <c r="D33" i="6" s="1"/>
  <c r="G33" i="6"/>
  <c r="E33" i="6"/>
  <c r="C33" i="6"/>
  <c r="AD32" i="6"/>
  <c r="AC32" i="6"/>
  <c r="J32" i="6"/>
  <c r="E32" i="6"/>
  <c r="C32" i="6"/>
  <c r="Q32" i="6" s="1"/>
  <c r="AD31" i="6"/>
  <c r="AC31" i="6"/>
  <c r="J31" i="6"/>
  <c r="D31" i="6" s="1"/>
  <c r="G31" i="6"/>
  <c r="E31" i="6"/>
  <c r="C31" i="6"/>
  <c r="R31" i="6" s="1"/>
  <c r="AD30" i="6"/>
  <c r="AC30" i="6"/>
  <c r="J30" i="6"/>
  <c r="G30" i="6" s="1"/>
  <c r="E30" i="6"/>
  <c r="D30" i="6"/>
  <c r="C30" i="6"/>
  <c r="Q30" i="6" s="1"/>
  <c r="AD29" i="6"/>
  <c r="AC29" i="6"/>
  <c r="J29" i="6"/>
  <c r="D29" i="6" s="1"/>
  <c r="G29" i="6"/>
  <c r="E29" i="6"/>
  <c r="C29" i="6"/>
  <c r="AD28" i="6"/>
  <c r="AC28" i="6"/>
  <c r="G28" i="6"/>
  <c r="E28" i="6"/>
  <c r="D28" i="6"/>
  <c r="C28" i="6"/>
  <c r="R28" i="6" s="1"/>
  <c r="AD27" i="6"/>
  <c r="AC27" i="6"/>
  <c r="C27" i="6"/>
  <c r="AD26" i="6"/>
  <c r="AC26" i="6"/>
  <c r="G26" i="6"/>
  <c r="C26" i="6"/>
  <c r="AD25" i="6"/>
  <c r="AC25" i="6"/>
  <c r="C25" i="6"/>
  <c r="B25" i="6" s="1"/>
  <c r="AD24" i="6"/>
  <c r="AC24" i="6"/>
  <c r="G24" i="6"/>
  <c r="C24" i="6"/>
  <c r="AD23" i="6"/>
  <c r="AC23" i="6"/>
  <c r="D23" i="6"/>
  <c r="E23" i="6"/>
  <c r="E24" i="6" s="1"/>
  <c r="E25" i="6" s="1"/>
  <c r="E26" i="6" s="1"/>
  <c r="E27" i="6" s="1"/>
  <c r="C23" i="6"/>
  <c r="R23" i="6" s="1"/>
  <c r="AD22" i="6"/>
  <c r="AC22" i="6"/>
  <c r="G22" i="6"/>
  <c r="E22" i="6"/>
  <c r="C22" i="6"/>
  <c r="Q22" i="6" s="1"/>
  <c r="AD21" i="6"/>
  <c r="AC21" i="6"/>
  <c r="C21" i="6"/>
  <c r="B21" i="6" s="1"/>
  <c r="AD20" i="6"/>
  <c r="AC20" i="6"/>
  <c r="G20" i="6"/>
  <c r="C20" i="6"/>
  <c r="AD19" i="6"/>
  <c r="AC19" i="6"/>
  <c r="G19" i="6"/>
  <c r="C19" i="6"/>
  <c r="AD18" i="6"/>
  <c r="AC18" i="6"/>
  <c r="G18" i="6"/>
  <c r="E18" i="6"/>
  <c r="E19" i="6" s="1"/>
  <c r="E20" i="6" s="1"/>
  <c r="E21" i="6" s="1"/>
  <c r="C18" i="6"/>
  <c r="Q18" i="6" s="1"/>
  <c r="AD17" i="6"/>
  <c r="AC17" i="6"/>
  <c r="J17" i="6"/>
  <c r="D17" i="6" s="1"/>
  <c r="G17" i="6"/>
  <c r="E17" i="6"/>
  <c r="C17" i="6"/>
  <c r="AD16" i="6"/>
  <c r="AC16" i="6"/>
  <c r="C16" i="6"/>
  <c r="AD15" i="6"/>
  <c r="AC15" i="6"/>
  <c r="G15" i="6"/>
  <c r="C15" i="6"/>
  <c r="AD14" i="6"/>
  <c r="AC14" i="6"/>
  <c r="G14" i="6"/>
  <c r="E14" i="6"/>
  <c r="E15" i="6" s="1"/>
  <c r="E16" i="6" s="1"/>
  <c r="C14" i="6"/>
  <c r="Q14" i="6" s="1"/>
  <c r="AD13" i="6"/>
  <c r="AC13" i="6"/>
  <c r="J13" i="6"/>
  <c r="D13" i="6" s="1"/>
  <c r="D14" i="6" s="1"/>
  <c r="G13" i="6"/>
  <c r="E13" i="6"/>
  <c r="C13" i="6"/>
  <c r="AD12" i="6"/>
  <c r="AC12" i="6"/>
  <c r="J12" i="6"/>
  <c r="G12" i="6" s="1"/>
  <c r="C12" i="6"/>
  <c r="AD11" i="6"/>
  <c r="AC11" i="6"/>
  <c r="J11" i="6"/>
  <c r="G11" i="6" s="1"/>
  <c r="C11" i="6"/>
  <c r="AD10" i="6"/>
  <c r="AC10" i="6"/>
  <c r="J10" i="6"/>
  <c r="G10" i="6" s="1"/>
  <c r="C10" i="6"/>
  <c r="AD9" i="6"/>
  <c r="AC9" i="6"/>
  <c r="G9" i="6"/>
  <c r="E9" i="6"/>
  <c r="F9" i="6" s="1"/>
  <c r="D9" i="6"/>
  <c r="C9" i="6"/>
  <c r="R9" i="6" s="1"/>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F752" i="5"/>
  <c r="E752" i="5"/>
  <c r="C752" i="5"/>
  <c r="B752" i="5"/>
  <c r="A752" i="5"/>
  <c r="J751" i="5"/>
  <c r="F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N14" i="2"/>
  <c r="M14" i="2"/>
  <c r="AA47" i="2" s="1"/>
  <c r="L14" i="2"/>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387" i="50"/>
  <c r="H217" i="50"/>
  <c r="L327" i="50"/>
  <c r="H333" i="50"/>
  <c r="H9" i="50"/>
  <c r="H329" i="50"/>
  <c r="L406" i="50"/>
  <c r="H11" i="50"/>
  <c r="H251" i="50"/>
  <c r="L387" i="50"/>
  <c r="H12" i="50"/>
  <c r="L372" i="50"/>
  <c r="H317" i="50"/>
  <c r="L331" i="50"/>
  <c r="H177" i="50"/>
  <c r="H63" i="50"/>
  <c r="H111" i="50"/>
  <c r="H161" i="50"/>
  <c r="G17" i="46"/>
  <c r="H313" i="50"/>
  <c r="L43" i="46"/>
  <c r="L317" i="50"/>
  <c r="H327" i="50"/>
  <c r="H214" i="50"/>
  <c r="H215" i="50"/>
  <c r="H288" i="50"/>
  <c r="H179" i="50"/>
  <c r="L307" i="50"/>
  <c r="H321" i="50"/>
  <c r="H312" i="50"/>
  <c r="L334" i="50"/>
  <c r="L312" i="50"/>
  <c r="H322" i="50"/>
  <c r="L402" i="50"/>
  <c r="L326" i="50"/>
  <c r="L325" i="50"/>
  <c r="H47" i="50"/>
  <c r="H168" i="50"/>
  <c r="L313" i="50"/>
  <c r="L320" i="50"/>
  <c r="L314" i="50"/>
  <c r="H272" i="50"/>
  <c r="H308" i="50"/>
  <c r="H334" i="50"/>
  <c r="H206" i="50"/>
  <c r="H372" i="50"/>
  <c r="H307" i="50"/>
  <c r="L386" i="50"/>
  <c r="L329" i="50"/>
  <c r="H278" i="50"/>
  <c r="L373" i="50"/>
  <c r="H65" i="50"/>
  <c r="H216" i="50"/>
  <c r="H67" i="50"/>
  <c r="L333" i="50"/>
  <c r="H255" i="50"/>
  <c r="H323" i="50"/>
  <c r="H115" i="50"/>
  <c r="L332" i="50"/>
  <c r="H399" i="50"/>
  <c r="H236" i="50"/>
  <c r="L321" i="50"/>
  <c r="L316" i="50"/>
  <c r="L297" i="50"/>
  <c r="G48" i="46"/>
  <c r="L322" i="50"/>
  <c r="L309" i="50"/>
  <c r="G21" i="46"/>
  <c r="H296" i="50"/>
  <c r="H324" i="50"/>
  <c r="H314" i="50"/>
  <c r="H305" i="50"/>
  <c r="G23" i="46"/>
  <c r="H159" i="50"/>
  <c r="H13" i="50"/>
  <c r="H113" i="50"/>
  <c r="H331" i="50"/>
  <c r="H130" i="50"/>
  <c r="L319" i="50"/>
  <c r="H309" i="50"/>
  <c r="H14" i="50"/>
  <c r="H406" i="50"/>
  <c r="H319" i="50"/>
  <c r="H238" i="50"/>
  <c r="H95" i="50"/>
  <c r="H325" i="50"/>
  <c r="H262" i="50"/>
  <c r="H373" i="50"/>
  <c r="H316" i="50"/>
  <c r="K64" i="7" l="1"/>
  <c r="E47" i="21"/>
  <c r="L4683" i="18"/>
  <c r="M699" i="5"/>
  <c r="M665" i="5"/>
  <c r="F15" i="70" s="1"/>
  <c r="M679" i="5"/>
  <c r="K337" i="50" s="1"/>
  <c r="F121" i="5"/>
  <c r="F869" i="5" s="1"/>
  <c r="K65" i="7"/>
  <c r="K67" i="7" s="1"/>
  <c r="E92" i="21"/>
  <c r="R27" i="6"/>
  <c r="B27" i="6"/>
  <c r="Q26" i="6"/>
  <c r="AE26" i="6" s="1"/>
  <c r="B26" i="6"/>
  <c r="Q24" i="6"/>
  <c r="B24" i="6"/>
  <c r="Q20" i="6"/>
  <c r="AE20" i="6" s="1"/>
  <c r="B20" i="6"/>
  <c r="R19" i="6"/>
  <c r="B19" i="6"/>
  <c r="E10" i="6"/>
  <c r="E11" i="6" s="1"/>
  <c r="E12" i="6" s="1"/>
  <c r="F12" i="6" s="1"/>
  <c r="D15" i="6"/>
  <c r="R15" i="6"/>
  <c r="B15" i="6"/>
  <c r="R16" i="6"/>
  <c r="B16" i="6"/>
  <c r="D10" i="6"/>
  <c r="M17" i="46"/>
  <c r="N17" i="46" s="1"/>
  <c r="Q55" i="2"/>
  <c r="R47" i="2"/>
  <c r="R11" i="6"/>
  <c r="B11" i="6"/>
  <c r="R12" i="6"/>
  <c r="B12" i="6"/>
  <c r="B9" i="6"/>
  <c r="M21" i="46"/>
  <c r="N21" i="46" s="1"/>
  <c r="Z47" i="2"/>
  <c r="AB47" i="2"/>
  <c r="M48" i="46"/>
  <c r="N48" i="46" s="1"/>
  <c r="F34" i="12"/>
  <c r="F38" i="12"/>
  <c r="D20" i="13"/>
  <c r="G20" i="13"/>
  <c r="G20" i="11"/>
  <c r="D20" i="11"/>
  <c r="G27" i="6"/>
  <c r="G33" i="13"/>
  <c r="D33" i="13"/>
  <c r="D38" i="13"/>
  <c r="G38" i="13"/>
  <c r="G13" i="11"/>
  <c r="D13" i="11"/>
  <c r="G25" i="6"/>
  <c r="G32" i="6"/>
  <c r="D32" i="6"/>
  <c r="G31" i="13"/>
  <c r="D31" i="13"/>
  <c r="D36" i="13"/>
  <c r="G36" i="13"/>
  <c r="G31" i="11"/>
  <c r="D31" i="11"/>
  <c r="G3" i="12"/>
  <c r="D3" i="12"/>
  <c r="G23" i="12"/>
  <c r="D23" i="12"/>
  <c r="G16" i="6"/>
  <c r="D16" i="6"/>
  <c r="G17" i="13"/>
  <c r="D17" i="13"/>
  <c r="D22" i="13"/>
  <c r="G22" i="13"/>
  <c r="G15" i="11"/>
  <c r="D15" i="11"/>
  <c r="G29" i="11"/>
  <c r="D29" i="11"/>
  <c r="G36" i="11"/>
  <c r="D36" i="11"/>
  <c r="G15" i="13"/>
  <c r="D15" i="13"/>
  <c r="P15" i="2"/>
  <c r="D11" i="6"/>
  <c r="D12" i="6" s="1"/>
  <c r="D19" i="13"/>
  <c r="D35" i="13"/>
  <c r="AE11" i="11"/>
  <c r="AE27" i="11"/>
  <c r="AE37" i="11"/>
  <c r="F11" i="12"/>
  <c r="AE12" i="12"/>
  <c r="D18" i="12"/>
  <c r="D20" i="12"/>
  <c r="D25" i="12"/>
  <c r="AE28" i="12"/>
  <c r="D34" i="12"/>
  <c r="D36" i="12"/>
  <c r="H115" i="47"/>
  <c r="AE15" i="11"/>
  <c r="AE31" i="11"/>
  <c r="U3" i="18"/>
  <c r="L6" i="72"/>
  <c r="H6" i="68"/>
  <c r="E69" i="68" s="1"/>
  <c r="H6" i="72"/>
  <c r="E60" i="72" s="1"/>
  <c r="L6" i="68"/>
  <c r="AE23" i="11"/>
  <c r="AE14" i="12"/>
  <c r="AE18" i="12"/>
  <c r="AE20"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2" i="18"/>
  <c r="K4965" i="18" s="1"/>
  <c r="I4939" i="18"/>
  <c r="I4941" i="18" s="1"/>
  <c r="I4942" i="18" s="1"/>
  <c r="L3732" i="18"/>
  <c r="K4920" i="18"/>
  <c r="H4939" i="18"/>
  <c r="L4871" i="18"/>
  <c r="M4871" i="18" s="1"/>
  <c r="L4872" i="18"/>
  <c r="M4872" i="18" s="1"/>
  <c r="H4795" i="18"/>
  <c r="L4870" i="18"/>
  <c r="M4870" i="18" s="1"/>
  <c r="H4793" i="18"/>
  <c r="H4794"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4"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6" i="18"/>
  <c r="D5249" i="18"/>
  <c r="D5261" i="18"/>
  <c r="D5216" i="18"/>
  <c r="D5229" i="18"/>
  <c r="D5235" i="18"/>
  <c r="D5246" i="18"/>
  <c r="D5254" i="18"/>
  <c r="D5260" i="18"/>
  <c r="D5266" i="18"/>
  <c r="D5221" i="18"/>
  <c r="D5215" i="18"/>
  <c r="D5226" i="18"/>
  <c r="D5234" i="18"/>
  <c r="D5245" i="18"/>
  <c r="D5251" i="18"/>
  <c r="D5259" i="18"/>
  <c r="D5265" i="18"/>
  <c r="D5271" i="18"/>
  <c r="D5220" i="18"/>
  <c r="D5253" i="18"/>
  <c r="D5214" i="18"/>
  <c r="D5213" i="18"/>
  <c r="D5239" i="18"/>
  <c r="D5228" i="18"/>
  <c r="D5218" i="18"/>
  <c r="D5268" i="18"/>
  <c r="D5240" i="18"/>
  <c r="D5233" i="18"/>
  <c r="D5223" i="18"/>
  <c r="D5263" i="18"/>
  <c r="D5241" i="18"/>
  <c r="D5238" i="18"/>
  <c r="D5243" i="18"/>
  <c r="D5248" i="18"/>
  <c r="D5258" i="18"/>
  <c r="D5230" i="18"/>
  <c r="D5255" i="18"/>
  <c r="D5269" i="18"/>
  <c r="D5225" i="18"/>
  <c r="D5231" i="18"/>
  <c r="D5244" i="18"/>
  <c r="D5250" i="18"/>
  <c r="D5256" i="18"/>
  <c r="D5264" i="18"/>
  <c r="D5270" i="18"/>
  <c r="D5219"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5" i="18" s="1"/>
  <c r="M4885" i="18" s="1"/>
  <c r="F13" i="74"/>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8" i="6"/>
  <c r="F10" i="11"/>
  <c r="F38" i="11"/>
  <c r="F27" i="12"/>
  <c r="F31" i="12"/>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D15" i="2"/>
  <c r="H15" i="2"/>
  <c r="L15" i="2"/>
  <c r="D18" i="6"/>
  <c r="D19" i="6" s="1"/>
  <c r="D20" i="6" s="1"/>
  <c r="D21" i="6" s="1"/>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G15" i="2"/>
  <c r="D3" i="6"/>
  <c r="D22" i="6"/>
  <c r="D24" i="6"/>
  <c r="D25" i="6" s="1"/>
  <c r="D26" i="6" s="1"/>
  <c r="D27" i="6" s="1"/>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4" i="6"/>
  <c r="AE32" i="6"/>
  <c r="Q1597" i="18"/>
  <c r="Q19" i="2"/>
  <c r="M40" i="2"/>
  <c r="M54" i="2" s="1"/>
  <c r="AE29" i="2"/>
  <c r="Q29" i="2"/>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30" i="6"/>
  <c r="AE34" i="6"/>
  <c r="C109" i="21"/>
  <c r="AA48" i="2"/>
  <c r="AA49" i="2" s="1"/>
  <c r="AA50" i="2" s="1"/>
  <c r="S54" i="2"/>
  <c r="S48" i="2"/>
  <c r="S49" i="2" s="1"/>
  <c r="S50" i="2" s="1"/>
  <c r="R54" i="2"/>
  <c r="R56" i="2" s="1"/>
  <c r="R57" i="2" s="1"/>
  <c r="R48" i="2"/>
  <c r="R49" i="2" s="1"/>
  <c r="R50" i="2" s="1"/>
  <c r="W54" i="2"/>
  <c r="W56" i="2" s="1"/>
  <c r="W57" i="2" s="1"/>
  <c r="W48" i="2"/>
  <c r="V54" i="2"/>
  <c r="V56" i="2" s="1"/>
  <c r="V57" i="2" s="1"/>
  <c r="V48" i="2"/>
  <c r="V49" i="2" s="1"/>
  <c r="V50" i="2" s="1"/>
  <c r="K40" i="2"/>
  <c r="K54" i="2" s="1"/>
  <c r="K56" i="2" s="1"/>
  <c r="K57" i="2" s="1"/>
  <c r="AE19" i="2"/>
  <c r="Q24" i="2"/>
  <c r="M56" i="2"/>
  <c r="M57" i="2" s="1"/>
  <c r="S56" i="2"/>
  <c r="S57" i="2" s="1"/>
  <c r="D40" i="2"/>
  <c r="H40" i="2"/>
  <c r="H54" i="2" s="1"/>
  <c r="L40" i="2"/>
  <c r="P40" i="2"/>
  <c r="P54" i="2" s="1"/>
  <c r="P56" i="2" s="1"/>
  <c r="P57" i="2" s="1"/>
  <c r="H56" i="2"/>
  <c r="H57" i="2" s="1"/>
  <c r="Q14" i="2"/>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5" i="18" s="1"/>
  <c r="I743" i="5"/>
  <c r="I745" i="5"/>
  <c r="E59" i="74" s="1"/>
  <c r="H5109" i="18" s="1"/>
  <c r="I747" i="5"/>
  <c r="I749" i="5"/>
  <c r="E63" i="74" s="1"/>
  <c r="H5113" i="18" s="1"/>
  <c r="I751" i="5"/>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6" i="18"/>
  <c r="P5366" i="18" s="1"/>
  <c r="O5367" i="18"/>
  <c r="P5367" i="18" s="1"/>
  <c r="O5365" i="18"/>
  <c r="P5365" i="18" s="1"/>
  <c r="O5360" i="18"/>
  <c r="P5360" i="18" s="1"/>
  <c r="N5333" i="18"/>
  <c r="O5333" i="18" s="1"/>
  <c r="N5332" i="18"/>
  <c r="O5332" i="18" s="1"/>
  <c r="N5331" i="18"/>
  <c r="O5331" i="18" s="1"/>
  <c r="N5329" i="18"/>
  <c r="O5329" i="18" s="1"/>
  <c r="N5328" i="18"/>
  <c r="O5328" i="18" s="1"/>
  <c r="N5326" i="18"/>
  <c r="O5326" i="18" s="1"/>
  <c r="H4390" i="18"/>
  <c r="N4367" i="18" s="1"/>
  <c r="L4390" i="18"/>
  <c r="P4390" i="18"/>
  <c r="K4367" i="18" s="1"/>
  <c r="J4390" i="18"/>
  <c r="N4390" i="18"/>
  <c r="I4390" i="18"/>
  <c r="L4894" i="18"/>
  <c r="M4894" i="18" s="1"/>
  <c r="L4893" i="18"/>
  <c r="M4893" i="18" s="1"/>
  <c r="L4892" i="18"/>
  <c r="M4892" i="18" s="1"/>
  <c r="L4890" i="18"/>
  <c r="M4890" i="18" s="1"/>
  <c r="L4891" i="18"/>
  <c r="M4891" i="18" s="1"/>
  <c r="L4888" i="18"/>
  <c r="M4888" i="18" s="1"/>
  <c r="L4887" i="18"/>
  <c r="M4887" i="18" s="1"/>
  <c r="L4886" i="18"/>
  <c r="M4886" i="18" s="1"/>
  <c r="L4882" i="18"/>
  <c r="M4882" i="18" s="1"/>
  <c r="M1787" i="18"/>
  <c r="N3210" i="18"/>
  <c r="Q3089" i="18"/>
  <c r="M3031" i="18"/>
  <c r="P2966" i="18"/>
  <c r="K2888" i="18"/>
  <c r="N2917" i="18"/>
  <c r="Q2685" i="18"/>
  <c r="L2587" i="18"/>
  <c r="S2494" i="18"/>
  <c r="N1653" i="18"/>
  <c r="L4873" i="18"/>
  <c r="M4873" i="18" s="1"/>
  <c r="L4869" i="18"/>
  <c r="M4869" i="18" s="1"/>
  <c r="L4868" i="18"/>
  <c r="M4868" i="18" s="1"/>
  <c r="L4867" i="18"/>
  <c r="M4867"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F760" i="5"/>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2" i="18" s="1"/>
  <c r="I740" i="5"/>
  <c r="I742" i="5"/>
  <c r="I744" i="5"/>
  <c r="I746" i="5"/>
  <c r="I748" i="5"/>
  <c r="I750" i="5"/>
  <c r="I752"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7" i="18"/>
  <c r="P2674" i="18"/>
  <c r="H2696" i="18"/>
  <c r="L2642" i="18" s="1"/>
  <c r="P2685" i="18"/>
  <c r="J2696" i="18"/>
  <c r="D5399" i="18"/>
  <c r="D5437" i="18"/>
  <c r="D5443" i="18"/>
  <c r="D5449" i="18"/>
  <c r="D5446" i="18"/>
  <c r="D5434" i="18"/>
  <c r="D5442" i="18"/>
  <c r="D5448" i="18"/>
  <c r="P2687" i="18"/>
  <c r="P2691" i="18"/>
  <c r="P2695" i="18"/>
  <c r="P2663" i="18"/>
  <c r="D5426" i="18"/>
  <c r="D5433" i="18"/>
  <c r="P2690" i="18"/>
  <c r="P2694" i="18"/>
  <c r="D5438"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7" i="18"/>
  <c r="D5431" i="18"/>
  <c r="D5398" i="18"/>
  <c r="D5410" i="18"/>
  <c r="D5436" i="18"/>
  <c r="D5403" i="18"/>
  <c r="D5409" i="18"/>
  <c r="D5415" i="18"/>
  <c r="D5453" i="18"/>
  <c r="D5441" i="18"/>
  <c r="D5429" i="18"/>
  <c r="D5439" i="18"/>
  <c r="D5404" i="18"/>
  <c r="D5444" i="18"/>
  <c r="D5432" i="18"/>
  <c r="D5428" i="18"/>
  <c r="D5394" i="18"/>
  <c r="D5400" i="18"/>
  <c r="D5414" i="18"/>
  <c r="D5419" i="18"/>
  <c r="D5407" i="18"/>
  <c r="D5395" i="18"/>
  <c r="D5412" i="18"/>
  <c r="D5408" i="18"/>
  <c r="D5392" i="18"/>
  <c r="D5413" i="18"/>
  <c r="D5405" i="18"/>
  <c r="D5397" i="18"/>
  <c r="D5393" i="18"/>
  <c r="D5402" i="18"/>
  <c r="D5126" i="18"/>
  <c r="D5124" i="18"/>
  <c r="D5125" i="18"/>
  <c r="H3913" i="18"/>
  <c r="K3896" i="18" s="1"/>
  <c r="P3097" i="18"/>
  <c r="P3101" i="18"/>
  <c r="K4496" i="18"/>
  <c r="H3816" i="18"/>
  <c r="K3764" i="18" s="1"/>
  <c r="I4496" i="18"/>
  <c r="N4488" i="18" s="1"/>
  <c r="N4776" i="18"/>
  <c r="P3094" i="18"/>
  <c r="P3098" i="18"/>
  <c r="P3102" i="18"/>
  <c r="H3788" i="18"/>
  <c r="K3770" i="18" s="1"/>
  <c r="K4776" i="18"/>
  <c r="K3392" i="18"/>
  <c r="K3381" i="18" s="1"/>
  <c r="D5103"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11" i="18"/>
  <c r="H6240"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8" i="18"/>
  <c r="K559" i="18"/>
  <c r="J567" i="18"/>
  <c r="I1434" i="18"/>
  <c r="K1510" i="18"/>
  <c r="Q658" i="18"/>
  <c r="H5462" i="18"/>
  <c r="H5484" i="18" s="1"/>
  <c r="L1707" i="18"/>
  <c r="K3471" i="18"/>
  <c r="K4454" i="18"/>
  <c r="K4449" i="18" s="1"/>
  <c r="J6238"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6"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8" i="18"/>
  <c r="Q5065" i="18"/>
  <c r="D5132" i="18"/>
  <c r="K5492" i="18"/>
  <c r="I6052" i="18"/>
  <c r="K6033" i="18" s="1"/>
  <c r="I6211" i="18"/>
  <c r="I6240" i="18"/>
  <c r="M128" i="18"/>
  <c r="N120" i="18" s="1"/>
  <c r="L495" i="18"/>
  <c r="L498" i="18" s="1"/>
  <c r="K485" i="18" s="1"/>
  <c r="J3003" i="18"/>
  <c r="Q3256" i="18"/>
  <c r="Q3955" i="18"/>
  <c r="Q4070" i="18"/>
  <c r="Q4072" i="18" s="1"/>
  <c r="H5788"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801" i="18"/>
  <c r="Q5054" i="18"/>
  <c r="Q5087" i="18"/>
  <c r="I5462" i="18"/>
  <c r="I5484" i="18" s="1"/>
  <c r="I5788" i="18"/>
  <c r="J221" i="5"/>
  <c r="K160" i="18"/>
  <c r="J128" i="18"/>
  <c r="K120" i="18" s="1"/>
  <c r="I1396" i="18"/>
  <c r="I1399" i="18"/>
  <c r="I1398" i="18"/>
  <c r="I1392" i="18"/>
  <c r="N859" i="18"/>
  <c r="K1400" i="18"/>
  <c r="J1419" i="18"/>
  <c r="Q1409" i="18" s="1"/>
  <c r="K1597" i="18"/>
  <c r="M1634" i="18"/>
  <c r="N1617" i="18" s="1"/>
  <c r="J2169" i="18"/>
  <c r="K2157" i="18" s="1"/>
  <c r="K2717" i="18"/>
  <c r="K2705" i="18" s="1"/>
  <c r="D5134" i="18"/>
  <c r="H6184" i="18"/>
  <c r="K6165"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40" i="18"/>
  <c r="Q4959" i="18"/>
  <c r="K5008" i="18"/>
  <c r="Q5038" i="18"/>
  <c r="J5462" i="18"/>
  <c r="J5484" i="18" s="1"/>
  <c r="Q5601" i="18"/>
  <c r="H5834" i="18"/>
  <c r="H5836" i="18" s="1"/>
  <c r="K5806" i="18" s="1"/>
  <c r="J6197" i="18"/>
  <c r="Q5022" i="18"/>
  <c r="J57" i="18"/>
  <c r="J577" i="18"/>
  <c r="I866" i="18"/>
  <c r="K1409" i="18"/>
  <c r="M4410" i="18"/>
  <c r="N4563" i="18"/>
  <c r="O4563" i="18" s="1"/>
  <c r="Q4694" i="18"/>
  <c r="K5065" i="18"/>
  <c r="K5463" i="18"/>
  <c r="K5468"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Q4663" i="18"/>
  <c r="Q4850" i="18"/>
  <c r="Q4878" i="18"/>
  <c r="K5475" i="18"/>
  <c r="R5601" i="18"/>
  <c r="J6209" i="18"/>
  <c r="J4575" i="18"/>
  <c r="J4533" i="18"/>
  <c r="D5135"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2" i="18"/>
  <c r="D5118" i="18"/>
  <c r="D5110" i="18"/>
  <c r="D5101" i="18"/>
  <c r="D5116" i="18"/>
  <c r="D5108" i="18"/>
  <c r="D5104" i="18"/>
  <c r="D5114" i="18"/>
  <c r="D5112" i="18"/>
  <c r="K3306" i="18"/>
  <c r="K3997" i="18"/>
  <c r="Q535" i="18"/>
  <c r="I1394" i="18"/>
  <c r="I1395" i="18"/>
  <c r="K1449" i="18"/>
  <c r="K1527" i="18"/>
  <c r="Q1557" i="18"/>
  <c r="Q1567" i="18"/>
  <c r="M1653" i="18"/>
  <c r="D2717" i="18"/>
  <c r="K2731" i="18"/>
  <c r="K2719" i="18" s="1"/>
  <c r="D5106" i="18"/>
  <c r="D5109"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L4563" i="18" s="1"/>
  <c r="Q3240" i="18"/>
  <c r="D5111" i="18"/>
  <c r="D5117" i="18"/>
  <c r="L4082" i="18"/>
  <c r="Q4074" i="18" s="1"/>
  <c r="I4410" i="18"/>
  <c r="O4402" i="18"/>
  <c r="Q4946" i="18"/>
  <c r="N4946" i="18"/>
  <c r="D2708" i="18"/>
  <c r="M3210" i="18"/>
  <c r="K3200" i="18" s="1"/>
  <c r="H4514" i="18"/>
  <c r="K4507" i="18" s="1"/>
  <c r="Q4540" i="18"/>
  <c r="K4540" i="18"/>
  <c r="L4540" i="18" s="1"/>
  <c r="M3185" i="18"/>
  <c r="K3175" i="18" s="1"/>
  <c r="H4410" i="18"/>
  <c r="N4392" i="18" s="1"/>
  <c r="L4410" i="18"/>
  <c r="K4421" i="18"/>
  <c r="K4413" i="18" s="1"/>
  <c r="N4540" i="18"/>
  <c r="O4540" i="18" s="1"/>
  <c r="J4577" i="18"/>
  <c r="K4878" i="18"/>
  <c r="Q4915" i="18"/>
  <c r="D5105" i="18"/>
  <c r="D5113" i="18"/>
  <c r="D5133" i="18"/>
  <c r="D5136" i="18"/>
  <c r="K5485" i="18"/>
  <c r="K5496" i="18"/>
  <c r="K5499" i="18"/>
  <c r="K4267" i="18"/>
  <c r="K4261" i="18" s="1"/>
  <c r="N4313" i="18"/>
  <c r="Q3987" i="18"/>
  <c r="K4305" i="18"/>
  <c r="K4297" i="18" s="1"/>
  <c r="N4348" i="18"/>
  <c r="D5107" i="18"/>
  <c r="D5115" i="18"/>
  <c r="K5480" i="18"/>
  <c r="J6226"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70" i="18"/>
  <c r="Q5158" i="18" s="1"/>
  <c r="H268" i="50"/>
  <c r="H295" i="50"/>
  <c r="H171" i="50"/>
  <c r="H320" i="50"/>
  <c r="H242" i="50"/>
  <c r="G25" i="46"/>
  <c r="H281" i="50"/>
  <c r="H267" i="50"/>
  <c r="H204" i="50"/>
  <c r="L296" i="50"/>
  <c r="H297" i="50"/>
  <c r="G13" i="46"/>
  <c r="L15" i="50"/>
  <c r="H145" i="50"/>
  <c r="L185" i="50"/>
  <c r="H15" i="50"/>
  <c r="L142" i="50"/>
  <c r="H120" i="50"/>
  <c r="H66" i="50"/>
  <c r="G26" i="46"/>
  <c r="L64" i="50"/>
  <c r="H151" i="50"/>
  <c r="H128" i="50"/>
  <c r="L101" i="50"/>
  <c r="H265" i="50"/>
  <c r="H332" i="50"/>
  <c r="H185" i="50"/>
  <c r="H245" i="50"/>
  <c r="L315" i="50"/>
  <c r="H112" i="50"/>
  <c r="H71" i="50"/>
  <c r="H104" i="50"/>
  <c r="G34" i="46"/>
  <c r="H224" i="50"/>
  <c r="H279" i="50"/>
  <c r="L180" i="50"/>
  <c r="H146" i="50"/>
  <c r="H298" i="50"/>
  <c r="H219" i="50"/>
  <c r="H212" i="50"/>
  <c r="H226" i="50"/>
  <c r="H58" i="50"/>
  <c r="H290" i="50"/>
  <c r="H231" i="50"/>
  <c r="G11" i="46"/>
  <c r="H289" i="50"/>
  <c r="H101" i="50"/>
  <c r="H142" i="50"/>
  <c r="H116" i="50"/>
  <c r="L295" i="50"/>
  <c r="H205" i="50"/>
  <c r="H287" i="50"/>
  <c r="H119" i="50"/>
  <c r="H243" i="50"/>
  <c r="L305" i="50"/>
  <c r="L323" i="50"/>
  <c r="L298" i="50"/>
  <c r="H144" i="50"/>
  <c r="H291" i="50"/>
  <c r="L138" i="50"/>
  <c r="H81" i="50"/>
  <c r="H69" i="50"/>
  <c r="H121" i="50"/>
  <c r="H270" i="50"/>
  <c r="H170" i="50"/>
  <c r="L124" i="50"/>
  <c r="H286" i="50"/>
  <c r="H250" i="50"/>
  <c r="L45" i="46"/>
  <c r="L38" i="46"/>
  <c r="H210" i="50"/>
  <c r="H315" i="50"/>
  <c r="H402" i="50"/>
  <c r="H183" i="50"/>
  <c r="L40" i="46"/>
  <c r="H257" i="50"/>
  <c r="H227" i="50"/>
  <c r="H239" i="50"/>
  <c r="L324" i="50"/>
  <c r="H64" i="50"/>
  <c r="F165" i="5" l="1"/>
  <c r="F796" i="5" s="1"/>
  <c r="E93" i="21"/>
  <c r="K68" i="7"/>
  <c r="E94" i="21"/>
  <c r="E95" i="21" s="1"/>
  <c r="N55" i="2"/>
  <c r="L1013" i="18"/>
  <c r="L3471" i="18"/>
  <c r="O4516" i="18"/>
  <c r="L4516" i="18"/>
  <c r="O4488" i="18"/>
  <c r="L4488" i="18"/>
  <c r="F29" i="70"/>
  <c r="E114" i="8"/>
  <c r="F10" i="6"/>
  <c r="F11" i="6"/>
  <c r="F13" i="6"/>
  <c r="I12" i="80"/>
  <c r="I13" i="80" s="1"/>
  <c r="G12" i="80"/>
  <c r="G13" i="80" s="1"/>
  <c r="H12" i="80"/>
  <c r="H13" i="80" s="1"/>
  <c r="M26" i="46"/>
  <c r="N26" i="46" s="1"/>
  <c r="D54" i="2"/>
  <c r="D56" i="2" s="1"/>
  <c r="D57" i="2" s="1"/>
  <c r="K94" i="7"/>
  <c r="K12" i="80"/>
  <c r="K13" i="80" s="1"/>
  <c r="F12" i="80"/>
  <c r="F13" i="80" s="1"/>
  <c r="E12" i="80"/>
  <c r="E13" i="80" s="1"/>
  <c r="J12" i="80"/>
  <c r="J13" i="80" s="1"/>
  <c r="D12" i="80"/>
  <c r="D13" i="80" s="1"/>
  <c r="M34" i="46"/>
  <c r="N34" i="46" s="1"/>
  <c r="L54" i="2"/>
  <c r="L56" i="2" s="1"/>
  <c r="L57" i="2" s="1"/>
  <c r="K327" i="50"/>
  <c r="M327" i="50" s="1"/>
  <c r="N327" i="50" s="1"/>
  <c r="K328" i="50"/>
  <c r="F8" i="74"/>
  <c r="K335" i="50"/>
  <c r="F15" i="74"/>
  <c r="K329" i="50"/>
  <c r="M329" i="50" s="1"/>
  <c r="N329" i="50" s="1"/>
  <c r="K330" i="50"/>
  <c r="F28" i="74"/>
  <c r="K332" i="50"/>
  <c r="M332" i="50" s="1"/>
  <c r="N332" i="50" s="1"/>
  <c r="F37" i="74"/>
  <c r="K346" i="50"/>
  <c r="AE47" i="2"/>
  <c r="J795" i="5"/>
  <c r="J798" i="5" s="1"/>
  <c r="J799" i="5" s="1"/>
  <c r="F71" i="8"/>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41" i="18"/>
  <c r="H4942" i="18" s="1"/>
  <c r="K4943" i="18" s="1"/>
  <c r="L4943" i="18" s="1"/>
  <c r="H4796" i="18"/>
  <c r="H4797" i="18" s="1"/>
  <c r="K4798" i="18" s="1"/>
  <c r="L4798"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I508" i="5" s="1"/>
  <c r="G527" i="5"/>
  <c r="I527" i="5" s="1"/>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I384" i="5" s="1"/>
  <c r="G386" i="5"/>
  <c r="I386" i="5" s="1"/>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3" i="18" s="1"/>
  <c r="F70" i="70"/>
  <c r="E53" i="74"/>
  <c r="H5103" i="18" s="1"/>
  <c r="E70" i="70"/>
  <c r="F76" i="70"/>
  <c r="F59" i="74"/>
  <c r="I5109" i="18" s="1"/>
  <c r="F91" i="70"/>
  <c r="F74" i="74"/>
  <c r="E88" i="70"/>
  <c r="E71" i="74"/>
  <c r="H5125" i="18" s="1"/>
  <c r="E78" i="70"/>
  <c r="E61" i="74"/>
  <c r="H5111" i="18" s="1"/>
  <c r="E94" i="70"/>
  <c r="E77" i="74"/>
  <c r="H5135" i="18" s="1"/>
  <c r="F81" i="70"/>
  <c r="F64" i="74"/>
  <c r="I5114" i="18" s="1"/>
  <c r="F73" i="70"/>
  <c r="F56" i="74"/>
  <c r="I5106" i="18" s="1"/>
  <c r="F93" i="70"/>
  <c r="F76" i="74"/>
  <c r="I5134" i="18" s="1"/>
  <c r="E81" i="70"/>
  <c r="E64" i="74"/>
  <c r="H5114" i="18" s="1"/>
  <c r="E73" i="70"/>
  <c r="E56" i="74"/>
  <c r="H5106" i="18" s="1"/>
  <c r="F88" i="70"/>
  <c r="F71" i="74"/>
  <c r="I5125" i="18" s="1"/>
  <c r="F78" i="70"/>
  <c r="F61" i="74"/>
  <c r="I5111" i="18" s="1"/>
  <c r="F92" i="70"/>
  <c r="F75" i="74"/>
  <c r="E93" i="70"/>
  <c r="E76" i="74"/>
  <c r="H5134" i="18" s="1"/>
  <c r="F71" i="70"/>
  <c r="F54" i="74"/>
  <c r="I5104" i="18" s="1"/>
  <c r="E89" i="70"/>
  <c r="E72" i="74"/>
  <c r="H5126" i="18" s="1"/>
  <c r="E71" i="70"/>
  <c r="E54" i="74"/>
  <c r="H5104" i="18" s="1"/>
  <c r="F84" i="70"/>
  <c r="F67" i="74"/>
  <c r="I5117" i="18" s="1"/>
  <c r="F94" i="70"/>
  <c r="F77" i="74"/>
  <c r="I5135" i="18" s="1"/>
  <c r="E92" i="70"/>
  <c r="E75" i="74"/>
  <c r="F83" i="70"/>
  <c r="F66" i="74"/>
  <c r="I5116" i="18" s="1"/>
  <c r="F75" i="70"/>
  <c r="F58" i="74"/>
  <c r="I5108" i="18" s="1"/>
  <c r="E83" i="70"/>
  <c r="E66" i="74"/>
  <c r="H5116" i="18" s="1"/>
  <c r="E75" i="70"/>
  <c r="E58" i="74"/>
  <c r="H5108" i="18" s="1"/>
  <c r="F80" i="70"/>
  <c r="F63" i="74"/>
  <c r="I5113" i="18" s="1"/>
  <c r="F72" i="70"/>
  <c r="F55" i="74"/>
  <c r="I5105" i="18" s="1"/>
  <c r="E91" i="70"/>
  <c r="E74" i="74"/>
  <c r="E82" i="70"/>
  <c r="E65" i="74"/>
  <c r="H5115" i="18" s="1"/>
  <c r="E74" i="70"/>
  <c r="E57" i="74"/>
  <c r="H5107" i="18" s="1"/>
  <c r="F89" i="70"/>
  <c r="F72" i="74"/>
  <c r="I5126" i="18" s="1"/>
  <c r="F79" i="70"/>
  <c r="F62" i="74"/>
  <c r="I5112" i="18" s="1"/>
  <c r="E79" i="70"/>
  <c r="E62" i="74"/>
  <c r="H5112" i="18" s="1"/>
  <c r="F87" i="70"/>
  <c r="F70" i="74"/>
  <c r="I5124" i="18" s="1"/>
  <c r="F77" i="70"/>
  <c r="F60" i="74"/>
  <c r="I5110" i="18" s="1"/>
  <c r="F69" i="70"/>
  <c r="F52" i="74"/>
  <c r="I5102" i="18" s="1"/>
  <c r="E87" i="70"/>
  <c r="E70" i="74"/>
  <c r="H5124" i="18" s="1"/>
  <c r="E77" i="70"/>
  <c r="E60" i="74"/>
  <c r="H5110" i="18" s="1"/>
  <c r="F82" i="70"/>
  <c r="F65" i="74"/>
  <c r="I5115" i="18" s="1"/>
  <c r="F74" i="70"/>
  <c r="F57" i="74"/>
  <c r="I5107" i="18" s="1"/>
  <c r="E84" i="70"/>
  <c r="E67" i="74"/>
  <c r="H5117" i="18" s="1"/>
  <c r="K6155" i="18"/>
  <c r="L6156" i="18" s="1"/>
  <c r="E80" i="70"/>
  <c r="K6075" i="18"/>
  <c r="L6076" i="18" s="1"/>
  <c r="E72" i="70"/>
  <c r="D44" i="48"/>
  <c r="F8" i="70"/>
  <c r="N5037" i="18"/>
  <c r="O5038" i="18" s="1"/>
  <c r="F31" i="70"/>
  <c r="K6055" i="18"/>
  <c r="L6056" i="18" s="1"/>
  <c r="E69" i="70"/>
  <c r="K6117" i="18"/>
  <c r="L6118" i="18" s="1"/>
  <c r="E76" i="70"/>
  <c r="N5064" i="18"/>
  <c r="O5065"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3" i="18"/>
  <c r="O5054" i="18" s="1"/>
  <c r="J171" i="5"/>
  <c r="K6093" i="18"/>
  <c r="L6094" i="18" s="1"/>
  <c r="K6186" i="18"/>
  <c r="F72" i="51"/>
  <c r="K6242" i="18"/>
  <c r="L6243" i="18" s="1"/>
  <c r="H24" i="72"/>
  <c r="K6137" i="18"/>
  <c r="L6138" i="18" s="1"/>
  <c r="T41" i="13"/>
  <c r="E63" i="8"/>
  <c r="F683" i="5"/>
  <c r="F825" i="5" s="1"/>
  <c r="N5021" i="18"/>
  <c r="O5022" i="18" s="1"/>
  <c r="M671" i="5"/>
  <c r="F709" i="5"/>
  <c r="J709" i="5"/>
  <c r="N5075" i="18"/>
  <c r="O5076" i="18" s="1"/>
  <c r="N5086" i="18"/>
  <c r="O5087"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O5364" i="18"/>
  <c r="P5364" i="18" s="1"/>
  <c r="N5330" i="18"/>
  <c r="O5330" i="18" s="1"/>
  <c r="N5334" i="18"/>
  <c r="O5334" i="18" s="1"/>
  <c r="O5377" i="18"/>
  <c r="P5377" i="18" s="1"/>
  <c r="N5327" i="18"/>
  <c r="O5327" i="18" s="1"/>
  <c r="O5361" i="18"/>
  <c r="P5361" i="18" s="1"/>
  <c r="O5380" i="18"/>
  <c r="P5380" i="18" s="1"/>
  <c r="K6126" i="18"/>
  <c r="L6127" i="18" s="1"/>
  <c r="M4875" i="18"/>
  <c r="K6064" i="18"/>
  <c r="L6065" i="18" s="1"/>
  <c r="F115" i="51"/>
  <c r="F118" i="51" s="1"/>
  <c r="F120" i="51" s="1"/>
  <c r="F96" i="51"/>
  <c r="F98" i="51" s="1"/>
  <c r="G93" i="51" s="1"/>
  <c r="K6146" i="18"/>
  <c r="L6147" i="18" s="1"/>
  <c r="E117" i="8"/>
  <c r="F28" i="51"/>
  <c r="F55" i="51" s="1"/>
  <c r="F764" i="5"/>
  <c r="F830" i="5" s="1"/>
  <c r="E31" i="74"/>
  <c r="E98" i="8"/>
  <c r="K6164" i="18"/>
  <c r="L6165" i="18" s="1"/>
  <c r="K6084" i="18"/>
  <c r="L6085" i="18" s="1"/>
  <c r="E18" i="74"/>
  <c r="K6107" i="18"/>
  <c r="L6108" i="18" s="1"/>
  <c r="K6213" i="18"/>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40" i="18"/>
  <c r="K6214" i="18" s="1"/>
  <c r="Q4340" i="18"/>
  <c r="K4561" i="18"/>
  <c r="L4561" i="18" s="1"/>
  <c r="Q1947" i="18"/>
  <c r="Q629" i="18"/>
  <c r="K629" i="18"/>
  <c r="J6211" i="18"/>
  <c r="K6187" i="18" s="1"/>
  <c r="I869" i="18"/>
  <c r="P3003" i="18"/>
  <c r="K2982" i="18" s="1"/>
  <c r="K5462"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4"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H187" i="50"/>
  <c r="G9" i="46"/>
  <c r="H37" i="50"/>
  <c r="L169" i="50"/>
  <c r="L47" i="46"/>
  <c r="H150" i="50"/>
  <c r="H263" i="50"/>
  <c r="G44" i="46"/>
  <c r="H233" i="50"/>
  <c r="H241" i="50"/>
  <c r="H19" i="50"/>
  <c r="H29" i="50"/>
  <c r="H94" i="50"/>
  <c r="H118" i="50"/>
  <c r="H256" i="50"/>
  <c r="H234" i="50"/>
  <c r="G47" i="46"/>
  <c r="H232" i="50"/>
  <c r="L189" i="50"/>
  <c r="L147" i="50"/>
  <c r="L186" i="50"/>
  <c r="L86" i="50"/>
  <c r="L9" i="46"/>
  <c r="L34" i="50"/>
  <c r="H180" i="50"/>
  <c r="H56" i="50"/>
  <c r="I678" i="5" l="1"/>
  <c r="E126" i="8"/>
  <c r="I149" i="5"/>
  <c r="G316" i="50" s="1"/>
  <c r="I316" i="50" s="1"/>
  <c r="J316" i="50" s="1"/>
  <c r="I99" i="5"/>
  <c r="M9" i="46"/>
  <c r="N9" i="46" s="1"/>
  <c r="G94" i="7"/>
  <c r="L94" i="7" s="1"/>
  <c r="M94" i="7" s="1"/>
  <c r="I90" i="5"/>
  <c r="G254" i="50" s="1"/>
  <c r="I692" i="5"/>
  <c r="G343" i="50" s="1"/>
  <c r="M148" i="5"/>
  <c r="D108" i="47" s="1"/>
  <c r="L552" i="5"/>
  <c r="M445" i="5"/>
  <c r="W24" i="75" s="1"/>
  <c r="L585" i="5"/>
  <c r="M550" i="5"/>
  <c r="Z31" i="71" s="1"/>
  <c r="L13" i="80"/>
  <c r="L12" i="80"/>
  <c r="M47" i="46"/>
  <c r="N47" i="46" s="1"/>
  <c r="M44" i="46"/>
  <c r="N44" i="46" s="1"/>
  <c r="E125" i="8"/>
  <c r="E127" i="8" s="1"/>
  <c r="E128" i="8" s="1"/>
  <c r="E33" i="69"/>
  <c r="G317" i="50"/>
  <c r="I317" i="50" s="1"/>
  <c r="J317" i="50" s="1"/>
  <c r="E13" i="74"/>
  <c r="G337" i="50"/>
  <c r="H15" i="68"/>
  <c r="K29" i="50"/>
  <c r="K33" i="50"/>
  <c r="K37" i="50"/>
  <c r="K41" i="50"/>
  <c r="K45" i="50"/>
  <c r="K28" i="50"/>
  <c r="K32" i="50"/>
  <c r="K36" i="50"/>
  <c r="K40" i="50"/>
  <c r="K44" i="50"/>
  <c r="K30" i="50"/>
  <c r="K34" i="50"/>
  <c r="K38" i="50"/>
  <c r="K42" i="50"/>
  <c r="K46" i="50"/>
  <c r="K35" i="50"/>
  <c r="K43" i="50"/>
  <c r="K31" i="50"/>
  <c r="K39" i="50"/>
  <c r="E29" i="69"/>
  <c r="G263" i="50"/>
  <c r="G262" i="50"/>
  <c r="I262" i="50" s="1"/>
  <c r="J262" i="50" s="1"/>
  <c r="G264" i="50"/>
  <c r="G266" i="50"/>
  <c r="G265" i="50"/>
  <c r="H38" i="68"/>
  <c r="K144" i="50"/>
  <c r="K148" i="50"/>
  <c r="K152" i="50"/>
  <c r="K145" i="50"/>
  <c r="K153" i="50"/>
  <c r="K143" i="50"/>
  <c r="K146" i="50"/>
  <c r="K151" i="50"/>
  <c r="K154" i="50"/>
  <c r="K142" i="50"/>
  <c r="M142" i="50" s="1"/>
  <c r="N142" i="50" s="1"/>
  <c r="K147" i="50"/>
  <c r="K149" i="50"/>
  <c r="K150" i="50"/>
  <c r="K155" i="50"/>
  <c r="K302" i="50"/>
  <c r="K297" i="50"/>
  <c r="M297" i="50" s="1"/>
  <c r="N297" i="50" s="1"/>
  <c r="K304" i="50"/>
  <c r="D44" i="51"/>
  <c r="I44" i="51" s="1"/>
  <c r="J44" i="51" s="1"/>
  <c r="K183" i="50"/>
  <c r="K180" i="50"/>
  <c r="M180" i="50" s="1"/>
  <c r="N180" i="50" s="1"/>
  <c r="K184" i="50"/>
  <c r="K181" i="50"/>
  <c r="K182" i="50"/>
  <c r="F88" i="8"/>
  <c r="F113" i="8" s="1"/>
  <c r="F115" i="8" s="1"/>
  <c r="F116" i="8" s="1"/>
  <c r="G251" i="50"/>
  <c r="I251" i="50" s="1"/>
  <c r="J251" i="50" s="1"/>
  <c r="K2796" i="18"/>
  <c r="L2797" i="18" s="1"/>
  <c r="G178" i="50"/>
  <c r="G177" i="50"/>
  <c r="I177" i="50" s="1"/>
  <c r="J177" i="50" s="1"/>
  <c r="G14" i="68"/>
  <c r="G16" i="50"/>
  <c r="G20" i="50"/>
  <c r="G24" i="50"/>
  <c r="G15" i="50"/>
  <c r="I15" i="50" s="1"/>
  <c r="J15" i="50" s="1"/>
  <c r="G19" i="50"/>
  <c r="G23" i="50"/>
  <c r="G27" i="50"/>
  <c r="G18" i="50"/>
  <c r="G22" i="50"/>
  <c r="G26" i="50"/>
  <c r="G17" i="50"/>
  <c r="G25" i="50"/>
  <c r="G21" i="50"/>
  <c r="K167" i="50"/>
  <c r="K166" i="50"/>
  <c r="K164" i="50"/>
  <c r="K165" i="50"/>
  <c r="K17" i="50"/>
  <c r="K21" i="50"/>
  <c r="K25" i="50"/>
  <c r="K16" i="50"/>
  <c r="K20" i="50"/>
  <c r="K24" i="50"/>
  <c r="K18" i="50"/>
  <c r="K22" i="50"/>
  <c r="K26" i="50"/>
  <c r="K19" i="50"/>
  <c r="K27" i="50"/>
  <c r="K15" i="50"/>
  <c r="M15" i="50" s="1"/>
  <c r="N15" i="50" s="1"/>
  <c r="K23" i="50"/>
  <c r="L22" i="68"/>
  <c r="K236" i="50"/>
  <c r="K237" i="50"/>
  <c r="J809" i="5"/>
  <c r="X18" i="2"/>
  <c r="X15" i="2" s="1"/>
  <c r="X40" i="2" s="1"/>
  <c r="AB18" i="2"/>
  <c r="AB16" i="2"/>
  <c r="J4426" i="18"/>
  <c r="J4435" i="18" s="1"/>
  <c r="G1933" i="18"/>
  <c r="G1496" i="18"/>
  <c r="G2143" i="18"/>
  <c r="J1911" i="18"/>
  <c r="J851" i="18"/>
  <c r="J582" i="18"/>
  <c r="G2354" i="18"/>
  <c r="J254" i="18"/>
  <c r="G1932" i="18"/>
  <c r="J4370" i="18"/>
  <c r="H2545" i="18"/>
  <c r="H2554" i="18" s="1"/>
  <c r="K2543" i="18" s="1"/>
  <c r="H2532" i="18"/>
  <c r="H2541" i="18" s="1"/>
  <c r="K2530" i="18" s="1"/>
  <c r="G2142" i="18"/>
  <c r="J2333" i="18"/>
  <c r="G1497" i="18"/>
  <c r="G2355" i="18"/>
  <c r="J2121" i="18"/>
  <c r="J1472" i="18"/>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I3831" i="18"/>
  <c r="I3837" i="18" s="1"/>
  <c r="H5341" i="18"/>
  <c r="H5374" i="18"/>
  <c r="H2466" i="18"/>
  <c r="H1639" i="18"/>
  <c r="I111" i="18"/>
  <c r="I117" i="18" s="1"/>
  <c r="I3278" i="18"/>
  <c r="I3284" i="18" s="1"/>
  <c r="Q3276" i="18" s="1"/>
  <c r="H1964" i="18"/>
  <c r="I1015" i="18"/>
  <c r="I1025" i="18" s="1"/>
  <c r="I3762" i="18"/>
  <c r="I3767" i="18" s="1"/>
  <c r="N3760" i="18" s="1"/>
  <c r="I1814" i="18"/>
  <c r="I1820" i="18" s="1"/>
  <c r="I3970" i="18"/>
  <c r="I3977" i="18" s="1"/>
  <c r="I1792" i="18"/>
  <c r="I1797" i="18" s="1"/>
  <c r="H451" i="18"/>
  <c r="I3308" i="18"/>
  <c r="I3316" i="18" s="1"/>
  <c r="K1990" i="18"/>
  <c r="K1999" i="18" s="1"/>
  <c r="I5160"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50" i="18"/>
  <c r="H4426" i="18"/>
  <c r="H4435" i="18" s="1"/>
  <c r="N4424" i="18" s="1"/>
  <c r="H4370" i="18"/>
  <c r="K1826" i="18"/>
  <c r="K23" i="18"/>
  <c r="I2849" i="18"/>
  <c r="I2860" i="18" s="1"/>
  <c r="H4415" i="18"/>
  <c r="H4421" i="18" s="1"/>
  <c r="N4413" i="18" s="1"/>
  <c r="H3216" i="18"/>
  <c r="H3191" i="18"/>
  <c r="H5580" i="18"/>
  <c r="I3288" i="18"/>
  <c r="I3296" i="18" s="1"/>
  <c r="L1841" i="18"/>
  <c r="I73" i="18"/>
  <c r="I87" i="18" s="1"/>
  <c r="N71" i="18" s="1"/>
  <c r="H3620" i="18"/>
  <c r="H3626" i="18" s="1"/>
  <c r="H2333" i="18"/>
  <c r="I2499" i="18"/>
  <c r="I2504" i="18" s="1"/>
  <c r="N2497" i="18" s="1"/>
  <c r="H1310" i="18"/>
  <c r="I2641" i="18"/>
  <c r="I2645" i="18" s="1"/>
  <c r="N2639" i="18" s="1"/>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4" i="18"/>
  <c r="J5773" i="18" s="1"/>
  <c r="N5762" i="18" s="1"/>
  <c r="L4063" i="18"/>
  <c r="L4072" i="18" s="1"/>
  <c r="I990" i="18"/>
  <c r="I1004" i="18" s="1"/>
  <c r="I4249" i="18"/>
  <c r="I4258" i="18" s="1"/>
  <c r="H4271" i="18"/>
  <c r="H4277" i="18" s="1"/>
  <c r="K2415" i="18"/>
  <c r="I3533" i="18"/>
  <c r="I3539" i="18" s="1"/>
  <c r="H4362" i="18"/>
  <c r="H4364" i="18" s="1"/>
  <c r="N4360" i="18" s="1"/>
  <c r="H433" i="18"/>
  <c r="L2051" i="18"/>
  <c r="I2023" i="18"/>
  <c r="I2029" i="18" s="1"/>
  <c r="Q2021" i="18" s="1"/>
  <c r="H2034" i="18"/>
  <c r="J3271" i="18"/>
  <c r="H5424" i="18"/>
  <c r="G2011" i="18"/>
  <c r="H2276" i="18"/>
  <c r="G2602" i="18"/>
  <c r="K3271" i="18"/>
  <c r="G3010" i="18"/>
  <c r="L2276" i="18"/>
  <c r="I700" i="18"/>
  <c r="I704" i="18" s="1"/>
  <c r="N698" i="18" s="1"/>
  <c r="G2561" i="18"/>
  <c r="G2585" i="18"/>
  <c r="G3020" i="18"/>
  <c r="G2596" i="18"/>
  <c r="G3039" i="18"/>
  <c r="G3029" i="18"/>
  <c r="G2575" i="18"/>
  <c r="J2276" i="18"/>
  <c r="L3981" i="18"/>
  <c r="L3987"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T16"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1" i="72"/>
  <c r="L10" i="72"/>
  <c r="L12" i="68"/>
  <c r="F21" i="73"/>
  <c r="F34" i="69"/>
  <c r="H12" i="72"/>
  <c r="H14" i="68"/>
  <c r="E114" i="70"/>
  <c r="F95" i="70"/>
  <c r="F122" i="70" s="1"/>
  <c r="E95" i="70"/>
  <c r="E122" i="70" s="1"/>
  <c r="E118" i="70"/>
  <c r="F118" i="70"/>
  <c r="F120" i="70" s="1"/>
  <c r="F121" i="70" s="1"/>
  <c r="F114" i="70"/>
  <c r="V30" i="71"/>
  <c r="V29" i="75"/>
  <c r="H30" i="71"/>
  <c r="H29" i="75"/>
  <c r="E17" i="73"/>
  <c r="H34" i="71"/>
  <c r="H33" i="75"/>
  <c r="Y9" i="71"/>
  <c r="Y9" i="75"/>
  <c r="L46" i="68"/>
  <c r="L37" i="72"/>
  <c r="V10" i="71"/>
  <c r="V10" i="75"/>
  <c r="V11" i="71"/>
  <c r="V11" i="75"/>
  <c r="AB11" i="71"/>
  <c r="AB11" i="75"/>
  <c r="H25" i="71"/>
  <c r="H24" i="75"/>
  <c r="Y30" i="71"/>
  <c r="Y29" i="75"/>
  <c r="U24" i="71"/>
  <c r="U23" i="75"/>
  <c r="AA12" i="71"/>
  <c r="AA12" i="75"/>
  <c r="D18" i="51"/>
  <c r="I18" i="51" s="1"/>
  <c r="J18" i="51" s="1"/>
  <c r="H13" i="72"/>
  <c r="F110" i="47"/>
  <c r="E20" i="73"/>
  <c r="L16" i="72"/>
  <c r="L22" i="71"/>
  <c r="L22" i="75"/>
  <c r="E97" i="74"/>
  <c r="H5132" i="18"/>
  <c r="I5133" i="18"/>
  <c r="F101" i="74"/>
  <c r="F103" i="74" s="1"/>
  <c r="F104" i="74" s="1"/>
  <c r="F78" i="74"/>
  <c r="F97" i="74"/>
  <c r="I5132" i="18"/>
  <c r="L28" i="71"/>
  <c r="L27" i="75"/>
  <c r="AB34" i="71"/>
  <c r="AB33" i="75"/>
  <c r="AB27" i="71"/>
  <c r="AB26" i="75"/>
  <c r="AA27" i="71"/>
  <c r="AA26" i="75"/>
  <c r="H28" i="71"/>
  <c r="H27" i="75"/>
  <c r="V22" i="71"/>
  <c r="V22" i="75"/>
  <c r="X28" i="71"/>
  <c r="X27" i="75"/>
  <c r="Q27" i="71"/>
  <c r="Q26" i="75"/>
  <c r="L9" i="71"/>
  <c r="L9" i="75"/>
  <c r="J24" i="71"/>
  <c r="J23" i="75"/>
  <c r="F48" i="73"/>
  <c r="F13" i="69"/>
  <c r="F8" i="73"/>
  <c r="Q32" i="71"/>
  <c r="Q31" i="75"/>
  <c r="AB17" i="71"/>
  <c r="AB17" i="75"/>
  <c r="X32" i="71"/>
  <c r="X31" i="75"/>
  <c r="K119" i="18"/>
  <c r="L236" i="18" s="1"/>
  <c r="G12" i="72"/>
  <c r="H27" i="71"/>
  <c r="H26" i="75"/>
  <c r="Y25" i="71"/>
  <c r="Y24" i="75"/>
  <c r="D20" i="71"/>
  <c r="D20" i="75"/>
  <c r="U18" i="71"/>
  <c r="U18" i="75"/>
  <c r="X18" i="71"/>
  <c r="X18" i="75"/>
  <c r="AA11" i="71"/>
  <c r="AA11" i="75"/>
  <c r="E55" i="70"/>
  <c r="E38" i="74"/>
  <c r="F54" i="69"/>
  <c r="F41" i="73"/>
  <c r="K34" i="71"/>
  <c r="K33" i="75"/>
  <c r="AA18" i="71"/>
  <c r="AA18" i="75"/>
  <c r="H5133" i="18"/>
  <c r="E101" i="74"/>
  <c r="E78" i="74"/>
  <c r="S15" i="71"/>
  <c r="R11" i="71"/>
  <c r="T19" i="71"/>
  <c r="S12" i="71"/>
  <c r="T15" i="71"/>
  <c r="T34" i="71"/>
  <c r="W9" i="71"/>
  <c r="R24" i="71"/>
  <c r="T27" i="71"/>
  <c r="S23" i="71"/>
  <c r="T9" i="71"/>
  <c r="W24" i="71"/>
  <c r="F75" i="47"/>
  <c r="D39" i="47"/>
  <c r="D90" i="51"/>
  <c r="I90" i="51" s="1"/>
  <c r="J90" i="51" s="1"/>
  <c r="L52" i="68"/>
  <c r="N3408" i="18"/>
  <c r="N3005" i="18"/>
  <c r="D111" i="51"/>
  <c r="I111" i="51" s="1"/>
  <c r="J111" i="51" s="1"/>
  <c r="N4350" i="18"/>
  <c r="L51" i="68"/>
  <c r="U52" i="71" s="1"/>
  <c r="K5902" i="18"/>
  <c r="L5903" i="18" s="1"/>
  <c r="E29" i="70"/>
  <c r="N3726" i="18"/>
  <c r="D67" i="52"/>
  <c r="F64" i="5"/>
  <c r="F786" i="5" s="1"/>
  <c r="D47" i="47"/>
  <c r="F85" i="51"/>
  <c r="G62" i="51" s="1"/>
  <c r="N4775" i="18"/>
  <c r="O4776" i="18" s="1"/>
  <c r="D47" i="51"/>
  <c r="I47" i="51" s="1"/>
  <c r="J47" i="51" s="1"/>
  <c r="D59" i="47"/>
  <c r="D65" i="47"/>
  <c r="J170" i="5"/>
  <c r="J192" i="5" s="1"/>
  <c r="D111" i="47"/>
  <c r="D106" i="48"/>
  <c r="K4822" i="18"/>
  <c r="L4823" i="18" s="1"/>
  <c r="N4487" i="18"/>
  <c r="O4507" i="18" s="1"/>
  <c r="F65" i="52"/>
  <c r="F13" i="52" s="1"/>
  <c r="D102" i="51"/>
  <c r="I102" i="51" s="1"/>
  <c r="J102" i="51" s="1"/>
  <c r="D102" i="47"/>
  <c r="F109" i="5"/>
  <c r="F125" i="5" s="1"/>
  <c r="F787" i="5" s="1"/>
  <c r="F20" i="52"/>
  <c r="D90" i="47"/>
  <c r="N119" i="18"/>
  <c r="O236" i="18" s="1"/>
  <c r="D44" i="47"/>
  <c r="L6187" i="18"/>
  <c r="N2556" i="18"/>
  <c r="D17" i="51"/>
  <c r="I17" i="51" s="1"/>
  <c r="J17" i="51" s="1"/>
  <c r="N316" i="18"/>
  <c r="O500" i="18" s="1"/>
  <c r="F42" i="47"/>
  <c r="D18" i="47"/>
  <c r="D89" i="47"/>
  <c r="N2829" i="18"/>
  <c r="O2830" i="18" s="1"/>
  <c r="D89" i="51"/>
  <c r="I89" i="51" s="1"/>
  <c r="J89" i="51" s="1"/>
  <c r="D17" i="47"/>
  <c r="D65" i="51"/>
  <c r="I65" i="51" s="1"/>
  <c r="J65" i="51" s="1"/>
  <c r="F711" i="5"/>
  <c r="N4359" i="18"/>
  <c r="O4360" i="18" s="1"/>
  <c r="K5086" i="18"/>
  <c r="L5087" i="18" s="1"/>
  <c r="D59" i="51"/>
  <c r="I59" i="51" s="1"/>
  <c r="J59" i="51" s="1"/>
  <c r="D39" i="51"/>
  <c r="I39" i="51" s="1"/>
  <c r="J39" i="51" s="1"/>
  <c r="N4836"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D122" i="51"/>
  <c r="I122" i="51" s="1"/>
  <c r="J122" i="51" s="1"/>
  <c r="G97" i="51"/>
  <c r="F17" i="47"/>
  <c r="O5336" i="18"/>
  <c r="N317" i="18"/>
  <c r="O5378" i="18"/>
  <c r="P5378" i="18" s="1"/>
  <c r="K317" i="18"/>
  <c r="O5362" i="18"/>
  <c r="P5362" i="18" s="1"/>
  <c r="K988" i="18"/>
  <c r="O5363" i="18"/>
  <c r="P5363" i="18" s="1"/>
  <c r="G94" i="51"/>
  <c r="F109" i="47"/>
  <c r="F12" i="48"/>
  <c r="D122" i="47"/>
  <c r="G90" i="51"/>
  <c r="G87" i="51"/>
  <c r="G88" i="51"/>
  <c r="G92" i="51"/>
  <c r="G91" i="51"/>
  <c r="G96" i="51"/>
  <c r="G89" i="51"/>
  <c r="G95" i="51"/>
  <c r="K4050" i="18"/>
  <c r="G50" i="51"/>
  <c r="G47" i="51"/>
  <c r="L6214" i="18"/>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859" i="18"/>
  <c r="K2920" i="18"/>
  <c r="Q2920" i="18"/>
  <c r="F851" i="5"/>
  <c r="F852" i="5" s="1"/>
  <c r="J851" i="5"/>
  <c r="J852" i="5" s="1"/>
  <c r="G78" i="46"/>
  <c r="L291" i="50"/>
  <c r="L238" i="50"/>
  <c r="L179" i="50"/>
  <c r="L28" i="50"/>
  <c r="L233" i="50"/>
  <c r="L399" i="50"/>
  <c r="H163" i="50"/>
  <c r="L290" i="50"/>
  <c r="L47" i="50"/>
  <c r="H158" i="50"/>
  <c r="H89" i="50"/>
  <c r="L12" i="46"/>
  <c r="L12" i="50"/>
  <c r="H28" i="50"/>
  <c r="L159" i="50"/>
  <c r="G83" i="46"/>
  <c r="H186" i="50"/>
  <c r="H68" i="50"/>
  <c r="H162" i="50"/>
  <c r="G43" i="46"/>
  <c r="L161" i="50"/>
  <c r="H169" i="50"/>
  <c r="G84" i="46"/>
  <c r="L288" i="50"/>
  <c r="L65" i="46"/>
  <c r="L11" i="46"/>
  <c r="L267" i="50"/>
  <c r="L168" i="50"/>
  <c r="L63" i="50"/>
  <c r="H165" i="50"/>
  <c r="L234" i="50"/>
  <c r="L67" i="46"/>
  <c r="H189" i="50"/>
  <c r="G46" i="46"/>
  <c r="Q3657" i="18" l="1"/>
  <c r="G253" i="50"/>
  <c r="K4800" i="18"/>
  <c r="L4801" i="18" s="1"/>
  <c r="K3926" i="18"/>
  <c r="L3927" i="18" s="1"/>
  <c r="K29" i="68"/>
  <c r="G252" i="50"/>
  <c r="F70" i="47"/>
  <c r="F16" i="73"/>
  <c r="M288" i="50"/>
  <c r="N288" i="50" s="1"/>
  <c r="D3029" i="18"/>
  <c r="M28" i="50"/>
  <c r="N28" i="50" s="1"/>
  <c r="D2355" i="18"/>
  <c r="W25" i="71"/>
  <c r="K5997" i="18"/>
  <c r="L5998" i="18" s="1"/>
  <c r="E26" i="74"/>
  <c r="E42" i="70"/>
  <c r="D108" i="51"/>
  <c r="I108" i="51" s="1"/>
  <c r="J108" i="51" s="1"/>
  <c r="K315" i="50"/>
  <c r="M315" i="50" s="1"/>
  <c r="N315" i="50" s="1"/>
  <c r="F28" i="69"/>
  <c r="W21" i="75"/>
  <c r="H709" i="5"/>
  <c r="L2810" i="18"/>
  <c r="M43" i="46"/>
  <c r="N43" i="46" s="1"/>
  <c r="M11" i="46"/>
  <c r="N11" i="46" s="1"/>
  <c r="M12" i="46"/>
  <c r="N12" i="46" s="1"/>
  <c r="M46" i="46"/>
  <c r="N46" i="46" s="1"/>
  <c r="K38" i="72"/>
  <c r="G283" i="50"/>
  <c r="G284" i="50"/>
  <c r="I284" i="50" s="1"/>
  <c r="J284" i="50" s="1"/>
  <c r="K11" i="68"/>
  <c r="G212" i="50"/>
  <c r="I212" i="50" s="1"/>
  <c r="J212" i="50" s="1"/>
  <c r="G213" i="50"/>
  <c r="K24" i="68"/>
  <c r="G239" i="50"/>
  <c r="I239" i="50" s="1"/>
  <c r="J239" i="50" s="1"/>
  <c r="G240" i="50"/>
  <c r="E53" i="70"/>
  <c r="E56" i="70" s="1"/>
  <c r="G345" i="50"/>
  <c r="E20" i="70"/>
  <c r="G328" i="50"/>
  <c r="G327" i="50"/>
  <c r="I327" i="50" s="1"/>
  <c r="J327" i="50" s="1"/>
  <c r="E14" i="74"/>
  <c r="G338" i="50"/>
  <c r="N3828" i="18"/>
  <c r="K243" i="50"/>
  <c r="K247" i="50"/>
  <c r="K244" i="50"/>
  <c r="M244" i="50" s="1"/>
  <c r="N244" i="50" s="1"/>
  <c r="K248" i="50"/>
  <c r="K245" i="50"/>
  <c r="K249" i="50"/>
  <c r="K246" i="50"/>
  <c r="L14" i="68"/>
  <c r="K216" i="50"/>
  <c r="D109" i="47"/>
  <c r="I109" i="47" s="1"/>
  <c r="J109" i="47" s="1"/>
  <c r="K316" i="50"/>
  <c r="M316" i="50" s="1"/>
  <c r="N316" i="50" s="1"/>
  <c r="N4246" i="18"/>
  <c r="K278" i="50"/>
  <c r="H26" i="68"/>
  <c r="K112" i="50"/>
  <c r="K111" i="50"/>
  <c r="G39" i="68"/>
  <c r="G158" i="50"/>
  <c r="G156" i="50"/>
  <c r="I156" i="50" s="1"/>
  <c r="J156" i="50" s="1"/>
  <c r="G157" i="50"/>
  <c r="G16" i="68"/>
  <c r="G48" i="50"/>
  <c r="G52" i="50"/>
  <c r="G56" i="50"/>
  <c r="G47" i="50"/>
  <c r="I47" i="50" s="1"/>
  <c r="J47" i="50" s="1"/>
  <c r="G51" i="50"/>
  <c r="G55" i="50"/>
  <c r="G50" i="50"/>
  <c r="G54" i="50"/>
  <c r="G49" i="50"/>
  <c r="G53" i="50"/>
  <c r="K23" i="68"/>
  <c r="G238" i="50"/>
  <c r="I238" i="50" s="1"/>
  <c r="J238" i="50" s="1"/>
  <c r="E26" i="73"/>
  <c r="G323" i="50"/>
  <c r="G322" i="50"/>
  <c r="I322" i="50" s="1"/>
  <c r="J322" i="50" s="1"/>
  <c r="K28" i="68"/>
  <c r="G250" i="50"/>
  <c r="I250" i="50" s="1"/>
  <c r="J250" i="50" s="1"/>
  <c r="K14" i="68"/>
  <c r="G216" i="50"/>
  <c r="I216" i="50" s="1"/>
  <c r="J216" i="50" s="1"/>
  <c r="E88" i="8"/>
  <c r="E113" i="8" s="1"/>
  <c r="E115" i="8" s="1"/>
  <c r="E116" i="8" s="1"/>
  <c r="G52" i="68"/>
  <c r="G205" i="50"/>
  <c r="I205" i="50" s="1"/>
  <c r="J205" i="50" s="1"/>
  <c r="G50" i="68"/>
  <c r="G198" i="50"/>
  <c r="I198" i="50" s="1"/>
  <c r="J198" i="50" s="1"/>
  <c r="G199" i="50"/>
  <c r="I861" i="5"/>
  <c r="G291" i="50"/>
  <c r="I291" i="50" s="1"/>
  <c r="J291" i="50" s="1"/>
  <c r="E35" i="69"/>
  <c r="G319" i="50"/>
  <c r="I319" i="50" s="1"/>
  <c r="J319" i="50" s="1"/>
  <c r="I845" i="5"/>
  <c r="G287" i="50"/>
  <c r="I287" i="50" s="1"/>
  <c r="J287" i="50" s="1"/>
  <c r="K3996" i="18"/>
  <c r="L3997" i="18" s="1"/>
  <c r="G259" i="50"/>
  <c r="G261" i="50"/>
  <c r="G258" i="50"/>
  <c r="G257" i="50"/>
  <c r="I257" i="50" s="1"/>
  <c r="J257" i="50" s="1"/>
  <c r="G260" i="50"/>
  <c r="E8" i="73"/>
  <c r="G297" i="50"/>
  <c r="I297" i="50" s="1"/>
  <c r="J297" i="50" s="1"/>
  <c r="G304" i="50"/>
  <c r="G302" i="50"/>
  <c r="E34" i="74"/>
  <c r="G333" i="50"/>
  <c r="I333" i="50" s="1"/>
  <c r="J333" i="50" s="1"/>
  <c r="N2796" i="18"/>
  <c r="O2810" i="18" s="1"/>
  <c r="K177" i="50"/>
  <c r="K178" i="50"/>
  <c r="H11" i="72"/>
  <c r="K14" i="50"/>
  <c r="D105" i="47"/>
  <c r="K310" i="50"/>
  <c r="K309" i="50"/>
  <c r="M309" i="50" s="1"/>
  <c r="N309" i="50" s="1"/>
  <c r="L29" i="68"/>
  <c r="K251" i="50"/>
  <c r="K252" i="50"/>
  <c r="K253" i="50"/>
  <c r="K254" i="50"/>
  <c r="N2907" i="18"/>
  <c r="O2908" i="18" s="1"/>
  <c r="K185" i="50"/>
  <c r="M185" i="50" s="1"/>
  <c r="N185" i="50" s="1"/>
  <c r="L15" i="68"/>
  <c r="K219" i="50"/>
  <c r="K223" i="50"/>
  <c r="K220" i="50"/>
  <c r="K217" i="50"/>
  <c r="K221" i="50"/>
  <c r="K218" i="50"/>
  <c r="M218" i="50" s="1"/>
  <c r="N218" i="50" s="1"/>
  <c r="K222" i="50"/>
  <c r="L38" i="68"/>
  <c r="K267" i="50"/>
  <c r="M267" i="50" s="1"/>
  <c r="N267" i="50" s="1"/>
  <c r="L41" i="68"/>
  <c r="K280" i="50"/>
  <c r="K279" i="50"/>
  <c r="F26" i="73"/>
  <c r="K322" i="50"/>
  <c r="M322" i="50" s="1"/>
  <c r="N322" i="50" s="1"/>
  <c r="K323" i="50"/>
  <c r="L21" i="68"/>
  <c r="K231" i="50"/>
  <c r="K235" i="50"/>
  <c r="K232" i="50"/>
  <c r="K233" i="50"/>
  <c r="K234" i="50"/>
  <c r="L28" i="68"/>
  <c r="K250" i="50"/>
  <c r="F29" i="73"/>
  <c r="K326" i="50"/>
  <c r="K325" i="50"/>
  <c r="M325" i="50" s="1"/>
  <c r="N325" i="50" s="1"/>
  <c r="H36" i="72"/>
  <c r="K187" i="50"/>
  <c r="K186" i="50"/>
  <c r="M186" i="50" s="1"/>
  <c r="N186" i="50" s="1"/>
  <c r="N4146" i="18"/>
  <c r="K270" i="50"/>
  <c r="K271" i="50"/>
  <c r="K987" i="18"/>
  <c r="L1027" i="18" s="1"/>
  <c r="G68" i="50"/>
  <c r="I68" i="50" s="1"/>
  <c r="J68" i="50" s="1"/>
  <c r="G72" i="50"/>
  <c r="G76" i="50"/>
  <c r="G80" i="50"/>
  <c r="G84" i="50"/>
  <c r="G88" i="50"/>
  <c r="G92" i="50"/>
  <c r="G96" i="50"/>
  <c r="G100" i="50"/>
  <c r="G71" i="50"/>
  <c r="G75" i="50"/>
  <c r="G79" i="50"/>
  <c r="G83" i="50"/>
  <c r="G87" i="50"/>
  <c r="G91" i="50"/>
  <c r="G95" i="50"/>
  <c r="G99" i="50"/>
  <c r="G70" i="50"/>
  <c r="G74" i="50"/>
  <c r="G78" i="50"/>
  <c r="G82" i="50"/>
  <c r="G86" i="50"/>
  <c r="G90" i="50"/>
  <c r="G94" i="50"/>
  <c r="G98" i="50"/>
  <c r="G73" i="50"/>
  <c r="G81" i="50"/>
  <c r="G89" i="50"/>
  <c r="G97" i="50"/>
  <c r="G69" i="50"/>
  <c r="I69" i="50" s="1"/>
  <c r="J69" i="50" s="1"/>
  <c r="G77" i="50"/>
  <c r="G93" i="50"/>
  <c r="G85" i="50"/>
  <c r="G13" i="68"/>
  <c r="G14" i="50"/>
  <c r="I14" i="50" s="1"/>
  <c r="J14" i="50" s="1"/>
  <c r="E27" i="73"/>
  <c r="G324" i="50"/>
  <c r="I324" i="50" s="1"/>
  <c r="J324" i="50" s="1"/>
  <c r="F44" i="47"/>
  <c r="I44" i="47" s="1"/>
  <c r="J44" i="47" s="1"/>
  <c r="G182" i="50"/>
  <c r="G183" i="50"/>
  <c r="G180" i="50"/>
  <c r="I180" i="50" s="1"/>
  <c r="J180" i="50" s="1"/>
  <c r="G184" i="50"/>
  <c r="G181" i="50"/>
  <c r="G40" i="72"/>
  <c r="G196" i="50"/>
  <c r="I196" i="50" s="1"/>
  <c r="J196" i="50" s="1"/>
  <c r="G197" i="50"/>
  <c r="K42" i="68"/>
  <c r="G201" i="50"/>
  <c r="I201" i="50" s="1"/>
  <c r="J201" i="50" s="1"/>
  <c r="E34" i="69"/>
  <c r="G318" i="50"/>
  <c r="I318" i="50" s="1"/>
  <c r="J318" i="50" s="1"/>
  <c r="G36" i="68"/>
  <c r="G132" i="50"/>
  <c r="G131" i="50"/>
  <c r="G135" i="50"/>
  <c r="G134" i="50"/>
  <c r="G130" i="50"/>
  <c r="I130" i="50" s="1"/>
  <c r="J130" i="50" s="1"/>
  <c r="G137" i="50"/>
  <c r="G136" i="50"/>
  <c r="G133" i="50"/>
  <c r="K4693" i="18"/>
  <c r="L4694" i="18" s="1"/>
  <c r="G309" i="50"/>
  <c r="I309" i="50" s="1"/>
  <c r="J309" i="50" s="1"/>
  <c r="G310" i="50"/>
  <c r="E36" i="69"/>
  <c r="G320" i="50"/>
  <c r="I320" i="50" s="1"/>
  <c r="J320" i="50" s="1"/>
  <c r="H51" i="68"/>
  <c r="K200" i="50"/>
  <c r="M200" i="50" s="1"/>
  <c r="N200" i="50" s="1"/>
  <c r="N4117" i="18"/>
  <c r="K268" i="50"/>
  <c r="K269" i="50"/>
  <c r="L25" i="72"/>
  <c r="K260" i="50"/>
  <c r="K257" i="50"/>
  <c r="K259" i="50"/>
  <c r="K261" i="50"/>
  <c r="K258" i="50"/>
  <c r="H23" i="68"/>
  <c r="K66" i="50"/>
  <c r="K67" i="50"/>
  <c r="N3420" i="18"/>
  <c r="K215" i="50"/>
  <c r="F22" i="69"/>
  <c r="K308" i="50"/>
  <c r="K307" i="50"/>
  <c r="M307" i="50" s="1"/>
  <c r="N307" i="50" s="1"/>
  <c r="D32" i="47"/>
  <c r="K132" i="50"/>
  <c r="K136" i="50"/>
  <c r="K130" i="50"/>
  <c r="M130" i="50" s="1"/>
  <c r="N130" i="50" s="1"/>
  <c r="K137" i="50"/>
  <c r="K135" i="50"/>
  <c r="K131" i="50"/>
  <c r="K133" i="50"/>
  <c r="K134" i="50"/>
  <c r="L39" i="68"/>
  <c r="K272" i="50"/>
  <c r="K276" i="50"/>
  <c r="K273" i="50"/>
  <c r="K275" i="50"/>
  <c r="K277" i="50"/>
  <c r="K274" i="50"/>
  <c r="H50" i="68"/>
  <c r="K199" i="50"/>
  <c r="K198" i="50"/>
  <c r="M198" i="50" s="1"/>
  <c r="N198" i="50" s="1"/>
  <c r="E28" i="74"/>
  <c r="G332" i="50"/>
  <c r="I332" i="50" s="1"/>
  <c r="J332" i="50" s="1"/>
  <c r="L11" i="68"/>
  <c r="K212" i="50"/>
  <c r="M212" i="50" s="1"/>
  <c r="N212" i="50" s="1"/>
  <c r="K213" i="50"/>
  <c r="F105" i="74"/>
  <c r="E7" i="73"/>
  <c r="G301" i="50"/>
  <c r="G296" i="50"/>
  <c r="I296" i="50" s="1"/>
  <c r="J296" i="50" s="1"/>
  <c r="G303" i="50"/>
  <c r="F45" i="47"/>
  <c r="G185" i="50"/>
  <c r="I185" i="50" s="1"/>
  <c r="J185" i="50" s="1"/>
  <c r="K15" i="68"/>
  <c r="G218" i="50"/>
  <c r="I218" i="50" s="1"/>
  <c r="J218" i="50" s="1"/>
  <c r="G222" i="50"/>
  <c r="G219" i="50"/>
  <c r="G223" i="50"/>
  <c r="G220" i="50"/>
  <c r="G221" i="50"/>
  <c r="G217" i="50"/>
  <c r="I217" i="50" s="1"/>
  <c r="J217" i="50" s="1"/>
  <c r="K48" i="68"/>
  <c r="G286" i="50"/>
  <c r="I286" i="50" s="1"/>
  <c r="J286" i="50" s="1"/>
  <c r="G285" i="50"/>
  <c r="K8" i="68"/>
  <c r="G206" i="50"/>
  <c r="I206" i="50" s="1"/>
  <c r="J206" i="50" s="1"/>
  <c r="G210" i="50"/>
  <c r="G207" i="50"/>
  <c r="G211" i="50"/>
  <c r="G208" i="50"/>
  <c r="G209" i="50"/>
  <c r="G22" i="68"/>
  <c r="G64" i="50"/>
  <c r="I64" i="50" s="1"/>
  <c r="J64" i="50" s="1"/>
  <c r="G65" i="50"/>
  <c r="G12" i="68"/>
  <c r="G13" i="50"/>
  <c r="I13" i="50" s="1"/>
  <c r="J13" i="50" s="1"/>
  <c r="G16" i="72"/>
  <c r="G63" i="50"/>
  <c r="I63" i="50" s="1"/>
  <c r="J63" i="50" s="1"/>
  <c r="K12" i="68"/>
  <c r="G214" i="50"/>
  <c r="I214" i="50" s="1"/>
  <c r="J214" i="50" s="1"/>
  <c r="G27" i="68"/>
  <c r="G114" i="50"/>
  <c r="G113" i="50"/>
  <c r="I113" i="50" s="1"/>
  <c r="J113" i="50" s="1"/>
  <c r="G40" i="68"/>
  <c r="G160" i="50"/>
  <c r="G159" i="50"/>
  <c r="I159" i="50" s="1"/>
  <c r="J159" i="50" s="1"/>
  <c r="E22" i="70"/>
  <c r="G336" i="50"/>
  <c r="E37" i="74"/>
  <c r="G346" i="50"/>
  <c r="E105" i="74"/>
  <c r="E24" i="69"/>
  <c r="G312" i="50"/>
  <c r="I312" i="50" s="1"/>
  <c r="J312" i="50" s="1"/>
  <c r="G311" i="50"/>
  <c r="K41" i="68"/>
  <c r="G279" i="50"/>
  <c r="I279" i="50" s="1"/>
  <c r="J279" i="50" s="1"/>
  <c r="G280" i="50"/>
  <c r="G46" i="68"/>
  <c r="G188" i="50"/>
  <c r="I188" i="50" s="1"/>
  <c r="J188" i="50" s="1"/>
  <c r="U51" i="75"/>
  <c r="G38" i="68"/>
  <c r="G143" i="50"/>
  <c r="G147" i="50"/>
  <c r="G151" i="50"/>
  <c r="G155" i="50"/>
  <c r="G142" i="50"/>
  <c r="I142" i="50" s="1"/>
  <c r="J142" i="50" s="1"/>
  <c r="G150" i="50"/>
  <c r="G145" i="50"/>
  <c r="G148" i="50"/>
  <c r="G153" i="50"/>
  <c r="G154" i="50"/>
  <c r="G152" i="50"/>
  <c r="G146" i="50"/>
  <c r="G144" i="50"/>
  <c r="G149" i="50"/>
  <c r="G26" i="68"/>
  <c r="G112" i="50"/>
  <c r="G111" i="50"/>
  <c r="G32" i="72"/>
  <c r="G162" i="50"/>
  <c r="G163" i="50"/>
  <c r="G161" i="50"/>
  <c r="I161" i="50" s="1"/>
  <c r="J161" i="50" s="1"/>
  <c r="K43" i="72"/>
  <c r="G288" i="50"/>
  <c r="I288" i="50" s="1"/>
  <c r="J288" i="50" s="1"/>
  <c r="G11" i="68"/>
  <c r="G12" i="50"/>
  <c r="I12" i="50" s="1"/>
  <c r="J12" i="50" s="1"/>
  <c r="G42" i="68"/>
  <c r="G166" i="50"/>
  <c r="G164" i="50"/>
  <c r="G165" i="50"/>
  <c r="G167" i="50"/>
  <c r="G8" i="72"/>
  <c r="G11" i="50"/>
  <c r="G10" i="50"/>
  <c r="I10" i="50" s="1"/>
  <c r="J10" i="50" s="1"/>
  <c r="G9" i="50"/>
  <c r="I9" i="50" s="1"/>
  <c r="J9" i="50" s="1"/>
  <c r="K13" i="68"/>
  <c r="G215" i="50"/>
  <c r="I215" i="50" s="1"/>
  <c r="J215" i="50" s="1"/>
  <c r="K21" i="68"/>
  <c r="G234" i="50"/>
  <c r="G231" i="50"/>
  <c r="I231" i="50" s="1"/>
  <c r="J231" i="50" s="1"/>
  <c r="G235" i="50"/>
  <c r="G232" i="50"/>
  <c r="G233" i="50"/>
  <c r="K3828" i="18"/>
  <c r="L3829" i="18" s="1"/>
  <c r="G246" i="50"/>
  <c r="G243" i="50"/>
  <c r="I243" i="50" s="1"/>
  <c r="J243" i="50" s="1"/>
  <c r="G247" i="50"/>
  <c r="G244" i="50"/>
  <c r="I244" i="50" s="1"/>
  <c r="J244" i="50" s="1"/>
  <c r="G248" i="50"/>
  <c r="G249" i="50"/>
  <c r="G245" i="50"/>
  <c r="G51" i="68"/>
  <c r="G200" i="50"/>
  <c r="I200" i="50" s="1"/>
  <c r="J200" i="50" s="1"/>
  <c r="G44" i="68"/>
  <c r="G179" i="50"/>
  <c r="I179" i="50" s="1"/>
  <c r="J179" i="50" s="1"/>
  <c r="G47" i="68"/>
  <c r="G190" i="50"/>
  <c r="G194" i="50"/>
  <c r="G191" i="50"/>
  <c r="G192" i="50"/>
  <c r="G193" i="50"/>
  <c r="G189" i="50"/>
  <c r="I189" i="50" s="1"/>
  <c r="J189" i="50" s="1"/>
  <c r="E21" i="74"/>
  <c r="G341" i="50"/>
  <c r="E20" i="74"/>
  <c r="G340" i="50"/>
  <c r="E8" i="74"/>
  <c r="G335" i="50"/>
  <c r="E33" i="74"/>
  <c r="E35" i="74" s="1"/>
  <c r="G344" i="50"/>
  <c r="N9" i="18"/>
  <c r="O20" i="18" s="1"/>
  <c r="K9" i="50"/>
  <c r="K10" i="50"/>
  <c r="M10" i="50" s="1"/>
  <c r="N10" i="50" s="1"/>
  <c r="K11" i="50"/>
  <c r="N987" i="18"/>
  <c r="O1292" i="18" s="1"/>
  <c r="K69" i="50"/>
  <c r="K73" i="50"/>
  <c r="K77" i="50"/>
  <c r="K81" i="50"/>
  <c r="K85" i="50"/>
  <c r="K89" i="50"/>
  <c r="K93" i="50"/>
  <c r="K97" i="50"/>
  <c r="K68" i="50"/>
  <c r="K72" i="50"/>
  <c r="K76" i="50"/>
  <c r="K80" i="50"/>
  <c r="K84" i="50"/>
  <c r="K88" i="50"/>
  <c r="K92" i="50"/>
  <c r="K96" i="50"/>
  <c r="K100" i="50"/>
  <c r="K70" i="50"/>
  <c r="K74" i="50"/>
  <c r="K78" i="50"/>
  <c r="K82" i="50"/>
  <c r="K86" i="50"/>
  <c r="K90" i="50"/>
  <c r="K94" i="50"/>
  <c r="K98" i="50"/>
  <c r="K75" i="50"/>
  <c r="K83" i="50"/>
  <c r="K91" i="50"/>
  <c r="K99" i="50"/>
  <c r="K71" i="50"/>
  <c r="K79" i="50"/>
  <c r="K87" i="50"/>
  <c r="K95" i="50"/>
  <c r="H34" i="68"/>
  <c r="K117" i="50"/>
  <c r="K121" i="50"/>
  <c r="K116" i="50"/>
  <c r="M116" i="50" s="1"/>
  <c r="N116" i="50" s="1"/>
  <c r="K120" i="50"/>
  <c r="K118" i="50"/>
  <c r="K122" i="50"/>
  <c r="K123" i="50"/>
  <c r="K119" i="50"/>
  <c r="H28" i="68"/>
  <c r="K115" i="50"/>
  <c r="F35" i="69"/>
  <c r="K319" i="50"/>
  <c r="M319" i="50" s="1"/>
  <c r="N319" i="50" s="1"/>
  <c r="H27" i="68"/>
  <c r="K113" i="50"/>
  <c r="K114" i="50"/>
  <c r="N3318" i="18"/>
  <c r="K207" i="50"/>
  <c r="K211" i="50"/>
  <c r="K208" i="50"/>
  <c r="K209" i="50"/>
  <c r="K206" i="50"/>
  <c r="K210" i="50"/>
  <c r="D75" i="48"/>
  <c r="K57" i="50"/>
  <c r="M57" i="50" s="1"/>
  <c r="N57" i="50" s="1"/>
  <c r="K61" i="50"/>
  <c r="K60" i="50"/>
  <c r="M60" i="50" s="1"/>
  <c r="N60" i="50" s="1"/>
  <c r="K58" i="50"/>
  <c r="K62" i="50"/>
  <c r="K59" i="50"/>
  <c r="H30" i="72"/>
  <c r="K156" i="50"/>
  <c r="M156" i="50" s="1"/>
  <c r="N156" i="50" s="1"/>
  <c r="K157" i="50"/>
  <c r="H12" i="68"/>
  <c r="K13" i="50"/>
  <c r="L24" i="68"/>
  <c r="K239" i="50"/>
  <c r="K240" i="50"/>
  <c r="L25" i="68"/>
  <c r="K241" i="50"/>
  <c r="K242" i="50"/>
  <c r="D71" i="51"/>
  <c r="I71" i="51" s="1"/>
  <c r="J71" i="51" s="1"/>
  <c r="K255" i="50"/>
  <c r="K256" i="50"/>
  <c r="L16" i="68"/>
  <c r="K227" i="50"/>
  <c r="K224" i="50"/>
  <c r="K228" i="50"/>
  <c r="K225" i="50"/>
  <c r="M225" i="50" s="1"/>
  <c r="N225" i="50" s="1"/>
  <c r="K229" i="50"/>
  <c r="K226" i="50"/>
  <c r="K230" i="50"/>
  <c r="H22" i="68"/>
  <c r="K65" i="50"/>
  <c r="K64" i="50"/>
  <c r="M64" i="50" s="1"/>
  <c r="N64" i="50" s="1"/>
  <c r="N4448" i="18"/>
  <c r="O4449" i="18" s="1"/>
  <c r="K292" i="50"/>
  <c r="M292" i="50" s="1"/>
  <c r="N292" i="50" s="1"/>
  <c r="H40" i="72"/>
  <c r="K196" i="50"/>
  <c r="M196" i="50" s="1"/>
  <c r="N196" i="50" s="1"/>
  <c r="K197" i="50"/>
  <c r="F27" i="73"/>
  <c r="K324" i="50"/>
  <c r="M324" i="50" s="1"/>
  <c r="N324" i="50" s="1"/>
  <c r="D93" i="47"/>
  <c r="K291" i="50"/>
  <c r="M291" i="50" s="1"/>
  <c r="N291" i="50" s="1"/>
  <c r="H48" i="68"/>
  <c r="K195" i="50"/>
  <c r="M195" i="50" s="1"/>
  <c r="N195" i="50" s="1"/>
  <c r="F107" i="47"/>
  <c r="G313" i="50"/>
  <c r="I313" i="50" s="1"/>
  <c r="J313" i="50" s="1"/>
  <c r="G314" i="50"/>
  <c r="G34" i="68"/>
  <c r="G116" i="50"/>
  <c r="I116" i="50" s="1"/>
  <c r="J116" i="50" s="1"/>
  <c r="G120" i="50"/>
  <c r="G119" i="50"/>
  <c r="G123" i="50"/>
  <c r="G118" i="50"/>
  <c r="G122" i="50"/>
  <c r="G121" i="50"/>
  <c r="G117" i="50"/>
  <c r="F23" i="47"/>
  <c r="G67" i="50"/>
  <c r="G66" i="50"/>
  <c r="I66" i="50" s="1"/>
  <c r="J66" i="50" s="1"/>
  <c r="E25" i="74"/>
  <c r="G342" i="50"/>
  <c r="E15" i="74"/>
  <c r="G329" i="50"/>
  <c r="I329" i="50" s="1"/>
  <c r="J329" i="50" s="1"/>
  <c r="G330" i="50"/>
  <c r="F37" i="69"/>
  <c r="K321" i="50"/>
  <c r="M321" i="50" s="1"/>
  <c r="N321" i="50" s="1"/>
  <c r="H52" i="68"/>
  <c r="K205" i="50"/>
  <c r="H44" i="68"/>
  <c r="K179" i="50"/>
  <c r="M179" i="50" s="1"/>
  <c r="N179" i="50" s="1"/>
  <c r="F23" i="73"/>
  <c r="K320" i="50"/>
  <c r="M320" i="50" s="1"/>
  <c r="N320" i="50" s="1"/>
  <c r="H16" i="72"/>
  <c r="K63" i="50"/>
  <c r="M63" i="50" s="1"/>
  <c r="N63" i="50" s="1"/>
  <c r="V51" i="75"/>
  <c r="K16" i="68"/>
  <c r="G226" i="50"/>
  <c r="G230" i="50"/>
  <c r="G227" i="50"/>
  <c r="G224" i="50"/>
  <c r="I224" i="50" s="1"/>
  <c r="J224" i="50" s="1"/>
  <c r="G228" i="50"/>
  <c r="G225" i="50"/>
  <c r="I225" i="50" s="1"/>
  <c r="J225" i="50" s="1"/>
  <c r="G229" i="50"/>
  <c r="F78" i="47"/>
  <c r="G271" i="50"/>
  <c r="G270" i="50"/>
  <c r="I270" i="50" s="1"/>
  <c r="J270" i="50" s="1"/>
  <c r="K25" i="68"/>
  <c r="G242" i="50"/>
  <c r="G241" i="50"/>
  <c r="I241" i="50" s="1"/>
  <c r="J241" i="50" s="1"/>
  <c r="E22" i="69"/>
  <c r="G308" i="50"/>
  <c r="G307" i="50"/>
  <c r="I307" i="50" s="1"/>
  <c r="J307" i="50" s="1"/>
  <c r="G13" i="72"/>
  <c r="G28" i="50"/>
  <c r="I28" i="50" s="1"/>
  <c r="J28" i="50" s="1"/>
  <c r="G32" i="50"/>
  <c r="G36" i="50"/>
  <c r="G40" i="50"/>
  <c r="G44" i="50"/>
  <c r="G31" i="50"/>
  <c r="G35" i="50"/>
  <c r="G39" i="50"/>
  <c r="G43" i="50"/>
  <c r="G30" i="50"/>
  <c r="G34" i="50"/>
  <c r="G38" i="50"/>
  <c r="G42" i="50"/>
  <c r="G46" i="50"/>
  <c r="G33" i="50"/>
  <c r="G41" i="50"/>
  <c r="G37" i="50"/>
  <c r="G45" i="50"/>
  <c r="G29" i="50"/>
  <c r="F77" i="47"/>
  <c r="G269" i="50"/>
  <c r="G268" i="50"/>
  <c r="I268" i="50" s="1"/>
  <c r="J268" i="50" s="1"/>
  <c r="K22" i="68"/>
  <c r="G236" i="50"/>
  <c r="I236" i="50" s="1"/>
  <c r="J236" i="50" s="1"/>
  <c r="G237" i="50"/>
  <c r="E37" i="69"/>
  <c r="G321" i="50"/>
  <c r="I321" i="50" s="1"/>
  <c r="J321" i="50" s="1"/>
  <c r="I857" i="5"/>
  <c r="G290" i="50"/>
  <c r="I290" i="50" s="1"/>
  <c r="J290" i="50" s="1"/>
  <c r="K40" i="68"/>
  <c r="G278" i="50"/>
  <c r="I278" i="50" s="1"/>
  <c r="J278" i="50" s="1"/>
  <c r="E21" i="69"/>
  <c r="G305" i="50"/>
  <c r="I305" i="50" s="1"/>
  <c r="J305" i="50" s="1"/>
  <c r="G306" i="50"/>
  <c r="K30" i="68"/>
  <c r="G255" i="50"/>
  <c r="I255" i="50" s="1"/>
  <c r="J255" i="50" s="1"/>
  <c r="G256" i="50"/>
  <c r="G25" i="68"/>
  <c r="G104" i="50"/>
  <c r="G108" i="50"/>
  <c r="G103" i="50"/>
  <c r="G107" i="50"/>
  <c r="G102" i="50"/>
  <c r="G106" i="50"/>
  <c r="G110" i="50"/>
  <c r="G105" i="50"/>
  <c r="G101" i="50"/>
  <c r="I101" i="50" s="1"/>
  <c r="J101" i="50" s="1"/>
  <c r="G109" i="50"/>
  <c r="G26" i="72"/>
  <c r="G124" i="50"/>
  <c r="I124" i="50" s="1"/>
  <c r="J124" i="50" s="1"/>
  <c r="G128" i="50"/>
  <c r="G127" i="50"/>
  <c r="G126" i="50"/>
  <c r="G129" i="50"/>
  <c r="G125" i="50"/>
  <c r="K39" i="68"/>
  <c r="G275" i="50"/>
  <c r="G272" i="50"/>
  <c r="I272" i="50" s="1"/>
  <c r="J272" i="50" s="1"/>
  <c r="G277" i="50"/>
  <c r="G274" i="50"/>
  <c r="G273" i="50"/>
  <c r="G276" i="50"/>
  <c r="G28" i="68"/>
  <c r="G115" i="50"/>
  <c r="I115" i="50" s="1"/>
  <c r="J115" i="50" s="1"/>
  <c r="K38" i="68"/>
  <c r="G267" i="50"/>
  <c r="I267" i="50" s="1"/>
  <c r="J267" i="50" s="1"/>
  <c r="G28" i="72"/>
  <c r="G139" i="50"/>
  <c r="G140" i="50"/>
  <c r="G138" i="50"/>
  <c r="I138" i="50" s="1"/>
  <c r="J138" i="50" s="1"/>
  <c r="G141" i="50"/>
  <c r="K2647" i="18"/>
  <c r="L2648" i="18" s="1"/>
  <c r="G170" i="50"/>
  <c r="G174" i="50"/>
  <c r="G171" i="50"/>
  <c r="G176" i="50"/>
  <c r="G169" i="50"/>
  <c r="I169" i="50" s="1"/>
  <c r="J169" i="50" s="1"/>
  <c r="G173" i="50"/>
  <c r="G175" i="50"/>
  <c r="G172" i="50"/>
  <c r="K43" i="68"/>
  <c r="G282" i="50"/>
  <c r="G281" i="50"/>
  <c r="I281" i="50" s="1"/>
  <c r="J281" i="50" s="1"/>
  <c r="G17" i="68"/>
  <c r="G60" i="50"/>
  <c r="I60" i="50" s="1"/>
  <c r="J60" i="50" s="1"/>
  <c r="G59" i="50"/>
  <c r="G58" i="50"/>
  <c r="G62" i="50"/>
  <c r="G57" i="50"/>
  <c r="I57" i="50" s="1"/>
  <c r="J57" i="50" s="1"/>
  <c r="G61" i="50"/>
  <c r="E29" i="73"/>
  <c r="G325" i="50"/>
  <c r="I325" i="50" s="1"/>
  <c r="J325" i="50" s="1"/>
  <c r="G326" i="50"/>
  <c r="K56" i="68"/>
  <c r="M52" i="71" s="1"/>
  <c r="G292" i="50"/>
  <c r="I292" i="50" s="1"/>
  <c r="J292" i="50" s="1"/>
  <c r="E28" i="69"/>
  <c r="G315" i="50"/>
  <c r="I315" i="50" s="1"/>
  <c r="J315" i="50" s="1"/>
  <c r="G45" i="68"/>
  <c r="G186" i="50"/>
  <c r="I186" i="50" s="1"/>
  <c r="J186" i="50" s="1"/>
  <c r="G187" i="50"/>
  <c r="G48" i="68"/>
  <c r="G195" i="50"/>
  <c r="I195" i="50" s="1"/>
  <c r="J195" i="50" s="1"/>
  <c r="G43" i="68"/>
  <c r="G168" i="50"/>
  <c r="I168" i="50" s="1"/>
  <c r="J168" i="50" s="1"/>
  <c r="E23" i="74"/>
  <c r="G331" i="50"/>
  <c r="I331" i="50" s="1"/>
  <c r="J331" i="50" s="1"/>
  <c r="E19" i="74"/>
  <c r="G339" i="50"/>
  <c r="H47" i="68"/>
  <c r="K191" i="50"/>
  <c r="K192" i="50"/>
  <c r="K189" i="50"/>
  <c r="M189" i="50" s="1"/>
  <c r="N189" i="50" s="1"/>
  <c r="K193" i="50"/>
  <c r="K190" i="50"/>
  <c r="K194" i="50"/>
  <c r="H40" i="68"/>
  <c r="K159" i="50"/>
  <c r="M159" i="50" s="1"/>
  <c r="N159" i="50" s="1"/>
  <c r="K160" i="50"/>
  <c r="F25" i="69"/>
  <c r="K314" i="50"/>
  <c r="K313" i="50"/>
  <c r="M313" i="50" s="1"/>
  <c r="N313" i="50" s="1"/>
  <c r="L42" i="68"/>
  <c r="K201" i="50"/>
  <c r="M201" i="50" s="1"/>
  <c r="N201" i="50" s="1"/>
  <c r="L43" i="68"/>
  <c r="K281" i="50"/>
  <c r="K282" i="50"/>
  <c r="H43" i="68"/>
  <c r="K168" i="50"/>
  <c r="M168" i="50" s="1"/>
  <c r="N168" i="50" s="1"/>
  <c r="H37" i="68"/>
  <c r="K140" i="50"/>
  <c r="K138" i="50"/>
  <c r="M138" i="50" s="1"/>
  <c r="N138" i="50" s="1"/>
  <c r="K139" i="50"/>
  <c r="K141" i="50"/>
  <c r="F24" i="69"/>
  <c r="K312" i="50"/>
  <c r="M312" i="50" s="1"/>
  <c r="N312" i="50" s="1"/>
  <c r="K311" i="50"/>
  <c r="D41" i="47"/>
  <c r="K171" i="50"/>
  <c r="K175" i="50"/>
  <c r="K169" i="50"/>
  <c r="M169" i="50" s="1"/>
  <c r="N169" i="50" s="1"/>
  <c r="K174" i="50"/>
  <c r="K172" i="50"/>
  <c r="K170" i="50"/>
  <c r="K173" i="50"/>
  <c r="K176" i="50"/>
  <c r="L47" i="68"/>
  <c r="Q52" i="71" s="1"/>
  <c r="K284" i="50"/>
  <c r="M284" i="50" s="1"/>
  <c r="N284" i="50" s="1"/>
  <c r="K283" i="50"/>
  <c r="H41" i="68"/>
  <c r="K163" i="50"/>
  <c r="K161" i="50"/>
  <c r="M161" i="50" s="1"/>
  <c r="N161" i="50" s="1"/>
  <c r="K162" i="50"/>
  <c r="H16" i="68"/>
  <c r="K49" i="50"/>
  <c r="K53" i="50"/>
  <c r="K48" i="50"/>
  <c r="K52" i="50"/>
  <c r="K56" i="50"/>
  <c r="K50" i="50"/>
  <c r="K54" i="50"/>
  <c r="K51" i="50"/>
  <c r="K47" i="50"/>
  <c r="M47" i="50" s="1"/>
  <c r="N47" i="50" s="1"/>
  <c r="K55" i="50"/>
  <c r="F33" i="69"/>
  <c r="K317" i="50"/>
  <c r="M317" i="50" s="1"/>
  <c r="N317" i="50" s="1"/>
  <c r="M857" i="5"/>
  <c r="K290" i="50"/>
  <c r="M290" i="50" s="1"/>
  <c r="N290" i="50" s="1"/>
  <c r="L17" i="72"/>
  <c r="K238" i="50"/>
  <c r="M238" i="50" s="1"/>
  <c r="N238" i="50" s="1"/>
  <c r="D103" i="47"/>
  <c r="K306" i="50"/>
  <c r="K305" i="50"/>
  <c r="M305" i="50" s="1"/>
  <c r="N305" i="50" s="1"/>
  <c r="H11" i="68"/>
  <c r="K12" i="50"/>
  <c r="M12" i="50" s="1"/>
  <c r="N12" i="50" s="1"/>
  <c r="H25" i="68"/>
  <c r="K101" i="50"/>
  <c r="M101" i="50" s="1"/>
  <c r="N101" i="50" s="1"/>
  <c r="K105" i="50"/>
  <c r="K109" i="50"/>
  <c r="K104" i="50"/>
  <c r="K108" i="50"/>
  <c r="K102" i="50"/>
  <c r="K106" i="50"/>
  <c r="K110" i="50"/>
  <c r="K107" i="50"/>
  <c r="K103" i="50"/>
  <c r="L26" i="72"/>
  <c r="K264" i="50"/>
  <c r="K265" i="50"/>
  <c r="K262" i="50"/>
  <c r="K266" i="50"/>
  <c r="K263" i="50"/>
  <c r="L39" i="72"/>
  <c r="K286" i="50"/>
  <c r="M286" i="50" s="1"/>
  <c r="N286" i="50" s="1"/>
  <c r="K285" i="50"/>
  <c r="D31" i="51"/>
  <c r="I31" i="51" s="1"/>
  <c r="J31" i="51" s="1"/>
  <c r="K125" i="50"/>
  <c r="K129" i="50"/>
  <c r="K124" i="50"/>
  <c r="M124" i="50" s="1"/>
  <c r="N124" i="50" s="1"/>
  <c r="K128" i="50"/>
  <c r="K126" i="50"/>
  <c r="K127" i="50"/>
  <c r="F7" i="73"/>
  <c r="K301" i="50"/>
  <c r="K296" i="50"/>
  <c r="M296" i="50" s="1"/>
  <c r="N296" i="50" s="1"/>
  <c r="K303" i="50"/>
  <c r="AB15" i="2"/>
  <c r="AB40" i="2" s="1"/>
  <c r="I5136" i="18"/>
  <c r="D78" i="51"/>
  <c r="I78" i="51" s="1"/>
  <c r="J78" i="51" s="1"/>
  <c r="D1497" i="18"/>
  <c r="D3039" i="18"/>
  <c r="D2596" i="18"/>
  <c r="D2604" i="18"/>
  <c r="D2608" i="18"/>
  <c r="D2612" i="18"/>
  <c r="D2616" i="18"/>
  <c r="D2605" i="18"/>
  <c r="D2609" i="18"/>
  <c r="D2613" i="18"/>
  <c r="D2602" i="18"/>
  <c r="D2606" i="18"/>
  <c r="D2614" i="18"/>
  <c r="D2603" i="18"/>
  <c r="D2607" i="18"/>
  <c r="D2611" i="18"/>
  <c r="N3531" i="18"/>
  <c r="I3552" i="18"/>
  <c r="I3554" i="18" s="1"/>
  <c r="I3555" i="18" s="1"/>
  <c r="K3556" i="18" s="1"/>
  <c r="L3556" i="18" s="1"/>
  <c r="Q3531" i="18"/>
  <c r="L1320" i="18"/>
  <c r="L1322" i="18" s="1"/>
  <c r="L1323" i="18" s="1"/>
  <c r="K1324" i="18" s="1"/>
  <c r="L1324" i="18" s="1"/>
  <c r="O5379" i="18"/>
  <c r="P5379" i="18" s="1"/>
  <c r="I1008" i="18"/>
  <c r="N988" i="18"/>
  <c r="N3801" i="18"/>
  <c r="L3764" i="18"/>
  <c r="Q3801" i="18"/>
  <c r="I2892" i="18"/>
  <c r="I2893" i="18" s="1"/>
  <c r="I2894" i="18" s="1"/>
  <c r="K2895" i="18" s="1"/>
  <c r="L2895" i="18" s="1"/>
  <c r="L4889" i="18"/>
  <c r="M4889" i="18" s="1"/>
  <c r="M4897" i="18" s="1"/>
  <c r="N2877" i="18"/>
  <c r="N3319" i="18"/>
  <c r="Q3319" i="18"/>
  <c r="N5343" i="18"/>
  <c r="O5343" i="18" s="1"/>
  <c r="N4261" i="18"/>
  <c r="Q4261" i="18"/>
  <c r="N3409" i="18"/>
  <c r="Q3409" i="18"/>
  <c r="N1790" i="18"/>
  <c r="O5382" i="18"/>
  <c r="P5382" i="18" s="1"/>
  <c r="Q1790" i="18"/>
  <c r="L1403" i="18"/>
  <c r="L1405" i="18" s="1"/>
  <c r="L1406" i="18" s="1"/>
  <c r="K1407" i="18" s="1"/>
  <c r="L1407" i="18" s="1"/>
  <c r="L939" i="18"/>
  <c r="I1007" i="18"/>
  <c r="Q1013" i="18"/>
  <c r="N1013" i="18"/>
  <c r="I3851" i="18"/>
  <c r="Q3829" i="18"/>
  <c r="N5347" i="18"/>
  <c r="O5347" i="18" s="1"/>
  <c r="N3829" i="18"/>
  <c r="I3850" i="18"/>
  <c r="I3852" i="18" s="1"/>
  <c r="I3853" i="18" s="1"/>
  <c r="K3854" i="18" s="1"/>
  <c r="L3854" i="18" s="1"/>
  <c r="L3765" i="18"/>
  <c r="N3443" i="18"/>
  <c r="I3465" i="18"/>
  <c r="I3467" i="18" s="1"/>
  <c r="I3468" i="18" s="1"/>
  <c r="K3469" i="18" s="1"/>
  <c r="L3469" i="18" s="1"/>
  <c r="Q3443" i="18"/>
  <c r="N5345" i="18"/>
  <c r="O5345" i="18" s="1"/>
  <c r="N4147" i="18"/>
  <c r="Q4147" i="18"/>
  <c r="D2366" i="18"/>
  <c r="D2362" i="18"/>
  <c r="D2358" i="18"/>
  <c r="D2354" i="18"/>
  <c r="D2361" i="18"/>
  <c r="D2357" i="18"/>
  <c r="D2363" i="18"/>
  <c r="D2359" i="18"/>
  <c r="D2364" i="18"/>
  <c r="D2360" i="18"/>
  <c r="D2356" i="18"/>
  <c r="D2143" i="18"/>
  <c r="D2575" i="18"/>
  <c r="D3020" i="18"/>
  <c r="N4061" i="18"/>
  <c r="Q4061" i="18"/>
  <c r="N4351" i="18"/>
  <c r="Q4351" i="18"/>
  <c r="N2797" i="18"/>
  <c r="L2643" i="18"/>
  <c r="L2645" i="18" s="1"/>
  <c r="N3997" i="18"/>
  <c r="N5348" i="18"/>
  <c r="O5348" i="18" s="1"/>
  <c r="Q3997" i="18"/>
  <c r="N5349" i="18"/>
  <c r="O5349" i="18" s="1"/>
  <c r="N4051" i="18"/>
  <c r="Q4051" i="18"/>
  <c r="I3300" i="18"/>
  <c r="I3301" i="18" s="1"/>
  <c r="I3302" i="18" s="1"/>
  <c r="K3303" i="18" s="1"/>
  <c r="L3303" i="18" s="1"/>
  <c r="N3286" i="18"/>
  <c r="Q3286" i="18"/>
  <c r="N3968" i="18"/>
  <c r="Q3968" i="18"/>
  <c r="N4287" i="18"/>
  <c r="Q4287" i="18"/>
  <c r="N3916" i="18"/>
  <c r="Q3916" i="18"/>
  <c r="N4118" i="18"/>
  <c r="N5350" i="18"/>
  <c r="O5350" i="18" s="1"/>
  <c r="Q4118" i="18"/>
  <c r="N3770" i="18"/>
  <c r="N5346" i="18"/>
  <c r="O5346" i="18" s="1"/>
  <c r="L3763" i="18"/>
  <c r="Q3770" i="18"/>
  <c r="D1500" i="18"/>
  <c r="D1499" i="18"/>
  <c r="D1496" i="18"/>
  <c r="D1504" i="18"/>
  <c r="D1501" i="18"/>
  <c r="D1505" i="18"/>
  <c r="D1498" i="18"/>
  <c r="D1502" i="18"/>
  <c r="D1506" i="18"/>
  <c r="D1503" i="18"/>
  <c r="D1508" i="18"/>
  <c r="D2585" i="18"/>
  <c r="D3031" i="18"/>
  <c r="D3027" i="18"/>
  <c r="D3019" i="18"/>
  <c r="D3015" i="18"/>
  <c r="D3011" i="18"/>
  <c r="D3037" i="18"/>
  <c r="D3033" i="18"/>
  <c r="D3025" i="18"/>
  <c r="D3021" i="18"/>
  <c r="D3038" i="18"/>
  <c r="D3034" i="18"/>
  <c r="D3030" i="18"/>
  <c r="D3022" i="18"/>
  <c r="D3018" i="18"/>
  <c r="D3010" i="18"/>
  <c r="D3036" i="18"/>
  <c r="D3028" i="18"/>
  <c r="D3024" i="18"/>
  <c r="D3016" i="18"/>
  <c r="D3012" i="18"/>
  <c r="D3009" i="18"/>
  <c r="D3013" i="18"/>
  <c r="D2007" i="18"/>
  <c r="D2011" i="18"/>
  <c r="D2004" i="18"/>
  <c r="D2008" i="18"/>
  <c r="D2005" i="18"/>
  <c r="D2009" i="18"/>
  <c r="D2006" i="18"/>
  <c r="H4281" i="18"/>
  <c r="H4282" i="18" s="1"/>
  <c r="H4283" i="18" s="1"/>
  <c r="K4284" i="18" s="1"/>
  <c r="L4284" i="18" s="1"/>
  <c r="Q4269" i="18"/>
  <c r="N3727" i="18"/>
  <c r="Q3727" i="18"/>
  <c r="N10" i="18"/>
  <c r="O5376" i="18"/>
  <c r="P5376" i="18" s="1"/>
  <c r="Q10" i="18"/>
  <c r="N967" i="18"/>
  <c r="L938" i="18"/>
  <c r="Q967" i="18"/>
  <c r="N3618" i="18"/>
  <c r="Q3618" i="18"/>
  <c r="K2847" i="18"/>
  <c r="Q2847" i="18"/>
  <c r="Q90" i="18"/>
  <c r="N90" i="18"/>
  <c r="N3432" i="18"/>
  <c r="N5344" i="18"/>
  <c r="O5344" i="18" s="1"/>
  <c r="Q3432" i="18"/>
  <c r="H3652" i="18"/>
  <c r="H3653" i="18" s="1"/>
  <c r="H3654" i="18" s="1"/>
  <c r="K3655" i="18" s="1"/>
  <c r="L3655" i="18" s="1"/>
  <c r="N3628" i="18"/>
  <c r="Q3628" i="18"/>
  <c r="N3306" i="18"/>
  <c r="Q3306" i="18"/>
  <c r="O5383" i="18"/>
  <c r="P5383" i="18" s="1"/>
  <c r="N1812" i="18"/>
  <c r="Q1812" i="18"/>
  <c r="O5381" i="18"/>
  <c r="P5381" i="18" s="1"/>
  <c r="K2431" i="18"/>
  <c r="H2458" i="18"/>
  <c r="H2459" i="18" s="1"/>
  <c r="H2460" i="18" s="1"/>
  <c r="K2461" i="18" s="1"/>
  <c r="L2461" i="18" s="1"/>
  <c r="D2152" i="18"/>
  <c r="D2148" i="18"/>
  <c r="D2144" i="18"/>
  <c r="D2151" i="18"/>
  <c r="D2147" i="18"/>
  <c r="D2149" i="18"/>
  <c r="D2145" i="18"/>
  <c r="D2146" i="18"/>
  <c r="D2154" i="18"/>
  <c r="D2142" i="18"/>
  <c r="D2150" i="18"/>
  <c r="D1932" i="18"/>
  <c r="D1936" i="18"/>
  <c r="D1940" i="18"/>
  <c r="D1944" i="18"/>
  <c r="D1937" i="18"/>
  <c r="D1941" i="18"/>
  <c r="D1934" i="18"/>
  <c r="D1938" i="18"/>
  <c r="D1942" i="18"/>
  <c r="D1935" i="18"/>
  <c r="D1939" i="18"/>
  <c r="D1933" i="18"/>
  <c r="N3979" i="18"/>
  <c r="L3991" i="18"/>
  <c r="L3992" i="18" s="1"/>
  <c r="L3993" i="18" s="1"/>
  <c r="K3994" i="18" s="1"/>
  <c r="L3994" i="18" s="1"/>
  <c r="Q3979"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64" i="18"/>
  <c r="D2576" i="18"/>
  <c r="D2580" i="18"/>
  <c r="D2584" i="18"/>
  <c r="N4247" i="18"/>
  <c r="Q4247" i="18"/>
  <c r="L937" i="18"/>
  <c r="Q944" i="18"/>
  <c r="N3927" i="18"/>
  <c r="Q3927" i="18"/>
  <c r="N3421" i="18"/>
  <c r="Q3421" i="18"/>
  <c r="N109" i="18"/>
  <c r="Q109" i="18"/>
  <c r="N4168" i="18"/>
  <c r="Q4168"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5" i="18"/>
  <c r="O4946"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4" i="18"/>
  <c r="L5065"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N4329" i="18"/>
  <c r="O4340" i="18" s="1"/>
  <c r="L48" i="68"/>
  <c r="N4958" i="18"/>
  <c r="O4959"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2" i="18"/>
  <c r="O4823"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O3770" i="18" s="1"/>
  <c r="L50" i="68"/>
  <c r="S52" i="71" s="1"/>
  <c r="M585" i="5"/>
  <c r="Q30" i="71"/>
  <c r="Z32" i="75"/>
  <c r="AA30" i="71"/>
  <c r="N89" i="18"/>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7" i="18"/>
  <c r="O4878"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800" i="18"/>
  <c r="O4801"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9" i="18"/>
  <c r="O4900"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4" i="18"/>
  <c r="O4915"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63" i="18"/>
  <c r="O4864"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W22" i="7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2" i="18"/>
  <c r="L6033" i="18" s="1"/>
  <c r="G709" i="5"/>
  <c r="K5891" i="18"/>
  <c r="L5892" i="18" s="1"/>
  <c r="K5075" i="18"/>
  <c r="L5076" i="18" s="1"/>
  <c r="E30" i="70"/>
  <c r="E10" i="74"/>
  <c r="D26" i="75"/>
  <c r="I708" i="5"/>
  <c r="E58" i="70"/>
  <c r="H683" i="5"/>
  <c r="K6008" i="18"/>
  <c r="L6009" i="18" s="1"/>
  <c r="E50" i="70"/>
  <c r="E9" i="74"/>
  <c r="E31" i="70"/>
  <c r="E60" i="70"/>
  <c r="E100" i="70" s="1"/>
  <c r="I18" i="75"/>
  <c r="I16" i="75" s="1"/>
  <c r="J35" i="71"/>
  <c r="J33" i="71" s="1"/>
  <c r="K6020" i="18"/>
  <c r="L6021" i="18" s="1"/>
  <c r="K5880" i="18"/>
  <c r="L5881" i="18" s="1"/>
  <c r="K5913" i="18"/>
  <c r="L5914" i="18" s="1"/>
  <c r="K5021" i="18"/>
  <c r="L5022" i="18" s="1"/>
  <c r="E27" i="74"/>
  <c r="E36" i="74"/>
  <c r="I696" i="5"/>
  <c r="I703" i="5"/>
  <c r="K5976" i="18"/>
  <c r="L5977" i="18" s="1"/>
  <c r="K5924" i="18"/>
  <c r="L5925" i="18" s="1"/>
  <c r="K5037" i="18"/>
  <c r="L5038" i="18" s="1"/>
  <c r="E41" i="70"/>
  <c r="E35" i="70"/>
  <c r="E39" i="70"/>
  <c r="K5053" i="18"/>
  <c r="L5054" i="18" s="1"/>
  <c r="F44" i="48"/>
  <c r="I682" i="5"/>
  <c r="H697" i="5"/>
  <c r="K5935" i="18"/>
  <c r="L5936" i="18" s="1"/>
  <c r="K5869" i="18"/>
  <c r="L5870" i="18" s="1"/>
  <c r="E8" i="70"/>
  <c r="E37" i="70"/>
  <c r="E32" i="71"/>
  <c r="E49" i="70"/>
  <c r="K2031" i="18"/>
  <c r="L2032" i="18" s="1"/>
  <c r="K4877" i="18"/>
  <c r="L4878"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8" i="18"/>
  <c r="L4959" i="18" s="1"/>
  <c r="K2919" i="18"/>
  <c r="L2982" i="18" s="1"/>
  <c r="L10" i="75"/>
  <c r="L13" i="75" s="1"/>
  <c r="F40" i="47"/>
  <c r="K47" i="72"/>
  <c r="M34" i="75"/>
  <c r="F9" i="71"/>
  <c r="G39" i="72"/>
  <c r="E36" i="70"/>
  <c r="K5946" i="18"/>
  <c r="L5947" i="18" s="1"/>
  <c r="I690" i="5"/>
  <c r="K5957" i="18"/>
  <c r="L5958"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50" i="18"/>
  <c r="O4837" i="18"/>
  <c r="F13" i="47"/>
  <c r="F82" i="47"/>
  <c r="K4486" i="18"/>
  <c r="L4498" i="18" s="1"/>
  <c r="E24" i="71"/>
  <c r="M12" i="71"/>
  <c r="O306" i="18"/>
  <c r="O130" i="18"/>
  <c r="O3006" i="18"/>
  <c r="L3937" i="18"/>
  <c r="L1449" i="18"/>
  <c r="L1428" i="18"/>
  <c r="L1365" i="18"/>
  <c r="L1459" i="18"/>
  <c r="O2599" i="18"/>
  <c r="L120" i="18"/>
  <c r="L130" i="18"/>
  <c r="F24" i="75"/>
  <c r="F21" i="75" s="1"/>
  <c r="O30" i="71"/>
  <c r="E35" i="73"/>
  <c r="L24" i="71"/>
  <c r="F111" i="47"/>
  <c r="I111" i="47" s="1"/>
  <c r="J111" i="47" s="1"/>
  <c r="O2202" i="18"/>
  <c r="N32" i="71"/>
  <c r="K3431" i="18"/>
  <c r="L3432" i="18" s="1"/>
  <c r="G27" i="75"/>
  <c r="F22" i="47"/>
  <c r="K4412" i="18"/>
  <c r="L4413" i="18" s="1"/>
  <c r="G10" i="72"/>
  <c r="K4836"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I633" i="5"/>
  <c r="I818" i="5" s="1"/>
  <c r="E8" i="69"/>
  <c r="E7" i="69" s="1"/>
  <c r="E28" i="75"/>
  <c r="K8" i="72"/>
  <c r="E46" i="73"/>
  <c r="F33" i="70"/>
  <c r="F111" i="70" s="1"/>
  <c r="K36" i="68"/>
  <c r="G17" i="72"/>
  <c r="F93" i="47"/>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9" i="18"/>
  <c r="L4900" i="18" s="1"/>
  <c r="F76" i="47"/>
  <c r="K4117" i="18"/>
  <c r="L4118" i="18" s="1"/>
  <c r="K4863" i="18"/>
  <c r="L4864" i="18" s="1"/>
  <c r="K4106" i="18"/>
  <c r="F107" i="48"/>
  <c r="K55" i="68"/>
  <c r="L52" i="71" s="1"/>
  <c r="K3726" i="18"/>
  <c r="L3727" i="18" s="1"/>
  <c r="N28" i="75"/>
  <c r="G8" i="68"/>
  <c r="G22" i="72"/>
  <c r="J11" i="71"/>
  <c r="K54" i="68"/>
  <c r="K52" i="71" s="1"/>
  <c r="G30" i="71"/>
  <c r="E22" i="73"/>
  <c r="G15" i="68"/>
  <c r="K29" i="72"/>
  <c r="M22" i="71"/>
  <c r="F57" i="70"/>
  <c r="K11" i="72"/>
  <c r="K46" i="72"/>
  <c r="I277" i="5"/>
  <c r="F71" i="47"/>
  <c r="F61" i="47"/>
  <c r="F34" i="47"/>
  <c r="I34" i="47" s="1"/>
  <c r="J34" i="47" s="1"/>
  <c r="F90" i="47"/>
  <c r="I90" i="47" s="1"/>
  <c r="J90" i="47" s="1"/>
  <c r="K4945" i="18"/>
  <c r="L4946"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I92" i="5"/>
  <c r="F84" i="48" s="1"/>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4" i="18"/>
  <c r="L4915"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36"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9" i="18"/>
  <c r="F111" i="8"/>
  <c r="F129" i="8"/>
  <c r="J754" i="5"/>
  <c r="M737" i="5"/>
  <c r="M822" i="5" s="1"/>
  <c r="J823" i="5"/>
  <c r="J824" i="5" s="1"/>
  <c r="G54" i="51"/>
  <c r="G28" i="51"/>
  <c r="L241" i="50"/>
  <c r="L69" i="50"/>
  <c r="L66" i="50"/>
  <c r="L231" i="50"/>
  <c r="L262" i="50"/>
  <c r="L243" i="50"/>
  <c r="G60" i="46"/>
  <c r="G55" i="46"/>
  <c r="L66" i="46"/>
  <c r="H181" i="50"/>
  <c r="G39" i="46"/>
  <c r="G54" i="46"/>
  <c r="L23" i="46"/>
  <c r="H157" i="50"/>
  <c r="L14" i="50"/>
  <c r="L206" i="50"/>
  <c r="L279" i="50"/>
  <c r="L250" i="50"/>
  <c r="L183" i="50"/>
  <c r="L177" i="50"/>
  <c r="L256" i="50"/>
  <c r="L13" i="50"/>
  <c r="L251" i="50"/>
  <c r="G56" i="46"/>
  <c r="L263" i="50"/>
  <c r="L68" i="50"/>
  <c r="L63" i="46"/>
  <c r="L224" i="50"/>
  <c r="L115" i="50"/>
  <c r="L272" i="50"/>
  <c r="L9" i="50"/>
  <c r="L71" i="46"/>
  <c r="L69" i="46"/>
  <c r="L257" i="50"/>
  <c r="L205" i="50"/>
  <c r="L215" i="50"/>
  <c r="L255" i="50"/>
  <c r="L113" i="50"/>
  <c r="L14" i="46"/>
  <c r="L287" i="50"/>
  <c r="L239" i="50"/>
  <c r="G57" i="46"/>
  <c r="L217" i="50"/>
  <c r="L268" i="50"/>
  <c r="L236" i="50"/>
  <c r="G45" i="46"/>
  <c r="L270" i="50"/>
  <c r="L278" i="50"/>
  <c r="L68" i="46"/>
  <c r="L82" i="46"/>
  <c r="L62" i="46"/>
  <c r="L70" i="46"/>
  <c r="L73" i="46"/>
  <c r="L214" i="50"/>
  <c r="L13" i="46"/>
  <c r="L232" i="50"/>
  <c r="L204" i="50"/>
  <c r="L72" i="46"/>
  <c r="L281" i="50"/>
  <c r="L216" i="50"/>
  <c r="L64" i="46"/>
  <c r="L3957" i="18" l="1"/>
  <c r="L3947" i="18"/>
  <c r="O3801" i="18"/>
  <c r="O3829" i="18"/>
  <c r="O3432" i="18"/>
  <c r="O109" i="18"/>
  <c r="O4287" i="18"/>
  <c r="W21" i="71"/>
  <c r="M214" i="50"/>
  <c r="N214" i="50" s="1"/>
  <c r="M236" i="50"/>
  <c r="N236" i="50" s="1"/>
  <c r="M287" i="50"/>
  <c r="N287" i="50" s="1"/>
  <c r="O3409" i="18"/>
  <c r="M205" i="50"/>
  <c r="N205" i="50" s="1"/>
  <c r="M206" i="50"/>
  <c r="N206" i="50" s="1"/>
  <c r="M279" i="50"/>
  <c r="N279" i="50" s="1"/>
  <c r="M217" i="50"/>
  <c r="N217" i="50" s="1"/>
  <c r="O90" i="18"/>
  <c r="O3727" i="18"/>
  <c r="M239" i="50"/>
  <c r="N239" i="50" s="1"/>
  <c r="M272" i="50"/>
  <c r="N272" i="50" s="1"/>
  <c r="M270" i="50"/>
  <c r="N270" i="50" s="1"/>
  <c r="M250" i="50"/>
  <c r="N250" i="50" s="1"/>
  <c r="O4351" i="18"/>
  <c r="M262" i="50"/>
  <c r="N262" i="50" s="1"/>
  <c r="M281" i="50"/>
  <c r="N281" i="50" s="1"/>
  <c r="M241" i="50"/>
  <c r="N241" i="50" s="1"/>
  <c r="M68" i="50"/>
  <c r="N68" i="50" s="1"/>
  <c r="M69" i="50"/>
  <c r="N69" i="50" s="1"/>
  <c r="M9" i="50"/>
  <c r="N9" i="50" s="1"/>
  <c r="M66" i="50"/>
  <c r="N66" i="50" s="1"/>
  <c r="O4147" i="18"/>
  <c r="M251" i="50"/>
  <c r="N251" i="50" s="1"/>
  <c r="M177" i="50"/>
  <c r="N177" i="50" s="1"/>
  <c r="O1013" i="18"/>
  <c r="M224" i="50"/>
  <c r="N224" i="50" s="1"/>
  <c r="M255" i="50"/>
  <c r="N255" i="50" s="1"/>
  <c r="M13" i="50"/>
  <c r="N13" i="50" s="1"/>
  <c r="M113" i="50"/>
  <c r="N113" i="50" s="1"/>
  <c r="M115" i="50"/>
  <c r="N115" i="50" s="1"/>
  <c r="M215" i="50"/>
  <c r="N215" i="50" s="1"/>
  <c r="M257" i="50"/>
  <c r="N257" i="50" s="1"/>
  <c r="M268" i="50"/>
  <c r="N268" i="50" s="1"/>
  <c r="M231" i="50"/>
  <c r="N231" i="50" s="1"/>
  <c r="M14" i="50"/>
  <c r="N14" i="50" s="1"/>
  <c r="M278" i="50"/>
  <c r="N278" i="50" s="1"/>
  <c r="M216" i="50"/>
  <c r="N216" i="50" s="1"/>
  <c r="M243" i="50"/>
  <c r="N243" i="50" s="1"/>
  <c r="O3839" i="18"/>
  <c r="O3421" i="18"/>
  <c r="O4247" i="18"/>
  <c r="O4118" i="18"/>
  <c r="Q5129" i="18"/>
  <c r="E29" i="74"/>
  <c r="O1307" i="18"/>
  <c r="I23" i="47"/>
  <c r="J23" i="47" s="1"/>
  <c r="AC31" i="75"/>
  <c r="L1587" i="18"/>
  <c r="L3839" i="18"/>
  <c r="I78" i="47"/>
  <c r="J78" i="47" s="1"/>
  <c r="O10" i="18"/>
  <c r="L1557" i="18"/>
  <c r="I77" i="47"/>
  <c r="J77" i="47" s="1"/>
  <c r="O2797" i="18"/>
  <c r="I58" i="47"/>
  <c r="J58" i="47" s="1"/>
  <c r="L1277" i="18"/>
  <c r="L2748" i="18"/>
  <c r="O1520" i="18"/>
  <c r="L1491" i="18"/>
  <c r="E39" i="74"/>
  <c r="E40" i="74" s="1"/>
  <c r="O1057" i="18"/>
  <c r="L3856" i="18"/>
  <c r="L3866" i="18"/>
  <c r="I45" i="47"/>
  <c r="J45" i="47" s="1"/>
  <c r="E16" i="74"/>
  <c r="I41" i="47"/>
  <c r="J41" i="47" s="1"/>
  <c r="I105" i="47"/>
  <c r="J105" i="47" s="1"/>
  <c r="K31" i="68"/>
  <c r="L988" i="18"/>
  <c r="L1538" i="18"/>
  <c r="L1057" i="18"/>
  <c r="L2705" i="18"/>
  <c r="I93" i="47"/>
  <c r="J93" i="47" s="1"/>
  <c r="L1292" i="18"/>
  <c r="O1277" i="18"/>
  <c r="O1491" i="18"/>
  <c r="O59" i="18"/>
  <c r="L1520" i="18"/>
  <c r="I103" i="47"/>
  <c r="J103" i="47" s="1"/>
  <c r="K44" i="68"/>
  <c r="I32" i="47"/>
  <c r="J32" i="47" s="1"/>
  <c r="E21" i="70"/>
  <c r="E24" i="74"/>
  <c r="O988" i="18"/>
  <c r="I107" i="47"/>
  <c r="J107" i="47" s="1"/>
  <c r="O3319" i="18"/>
  <c r="M39" i="46"/>
  <c r="N39" i="46" s="1"/>
  <c r="M23" i="46"/>
  <c r="N23" i="46" s="1"/>
  <c r="M13" i="46"/>
  <c r="N13" i="46" s="1"/>
  <c r="M14" i="46"/>
  <c r="N14" i="46" s="1"/>
  <c r="M45" i="46"/>
  <c r="N45" i="46" s="1"/>
  <c r="Y43" i="75"/>
  <c r="X51" i="75"/>
  <c r="D51" i="75"/>
  <c r="X43" i="75"/>
  <c r="Q51" i="75"/>
  <c r="Z51" i="75"/>
  <c r="F94" i="74"/>
  <c r="U43" i="75"/>
  <c r="M51" i="75"/>
  <c r="Y51" i="75"/>
  <c r="F122" i="21"/>
  <c r="F123" i="21" s="1"/>
  <c r="F124" i="21" s="1"/>
  <c r="K51" i="75"/>
  <c r="L51" i="75"/>
  <c r="H51" i="75"/>
  <c r="I51" i="75"/>
  <c r="D34" i="48"/>
  <c r="F37" i="48"/>
  <c r="D22" i="48"/>
  <c r="E129" i="8"/>
  <c r="H129" i="8" s="1"/>
  <c r="F45" i="48"/>
  <c r="AA33" i="71"/>
  <c r="F24" i="52"/>
  <c r="O1812" i="18"/>
  <c r="O3997" i="18"/>
  <c r="P5385" i="18"/>
  <c r="L941" i="18"/>
  <c r="L3767" i="18"/>
  <c r="M7" i="18"/>
  <c r="I1009" i="18"/>
  <c r="I1010" i="18" s="1"/>
  <c r="K1011" i="18" s="1"/>
  <c r="L1011" i="18" s="1"/>
  <c r="O5353" i="18"/>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7"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N13" i="71"/>
  <c r="AA44" i="71" s="1"/>
  <c r="O13" i="71"/>
  <c r="AB44" i="71" s="1"/>
  <c r="L25" i="75"/>
  <c r="L14" i="75" s="1"/>
  <c r="L36" i="75" s="1"/>
  <c r="L21" i="71"/>
  <c r="N13" i="75"/>
  <c r="O16" i="71"/>
  <c r="F21" i="71"/>
  <c r="F26" i="71"/>
  <c r="E16" i="71"/>
  <c r="G21" i="71"/>
  <c r="O16" i="75"/>
  <c r="K16" i="75"/>
  <c r="K16" i="71"/>
  <c r="P29" i="75"/>
  <c r="N16" i="75"/>
  <c r="N26" i="71"/>
  <c r="L848" i="18"/>
  <c r="L4725" i="18"/>
  <c r="L4736" i="18"/>
  <c r="K25" i="75"/>
  <c r="L4850" i="18"/>
  <c r="L4837" i="18"/>
  <c r="O26" i="71"/>
  <c r="F16" i="71"/>
  <c r="M13" i="71"/>
  <c r="Z44" i="71" s="1"/>
  <c r="E25" i="75"/>
  <c r="E21" i="71"/>
  <c r="L2431" i="18"/>
  <c r="L2908" i="18"/>
  <c r="L3454" i="18"/>
  <c r="L3501" i="18"/>
  <c r="L3006" i="18"/>
  <c r="L668" i="18"/>
  <c r="L569" i="18"/>
  <c r="L485" i="18"/>
  <c r="L559" i="18"/>
  <c r="L3541" i="18"/>
  <c r="L3578" i="18"/>
  <c r="L2557" i="18"/>
  <c r="L4424" i="18"/>
  <c r="L4437" i="18"/>
  <c r="P9" i="75"/>
  <c r="P24" i="75"/>
  <c r="H15" i="71"/>
  <c r="G13" i="75"/>
  <c r="T43" i="75" s="1"/>
  <c r="J21" i="71"/>
  <c r="L2202" i="18"/>
  <c r="L2218" i="18"/>
  <c r="M15" i="71"/>
  <c r="M13" i="75"/>
  <c r="Z43" i="75" s="1"/>
  <c r="L2157" i="18"/>
  <c r="L859" i="18"/>
  <c r="L3443" i="18"/>
  <c r="L890" i="18"/>
  <c r="F59" i="70"/>
  <c r="F123" i="70" s="1"/>
  <c r="F124" i="70" s="1"/>
  <c r="F125" i="70" s="1"/>
  <c r="L3394" i="18"/>
  <c r="F754" i="5"/>
  <c r="F826" i="5" s="1"/>
  <c r="F827" i="5" s="1"/>
  <c r="F828" i="5" s="1"/>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I16" i="71"/>
  <c r="G13" i="71"/>
  <c r="T44" i="71" s="1"/>
  <c r="I121" i="5"/>
  <c r="J13" i="71"/>
  <c r="W44" i="71" s="1"/>
  <c r="P28" i="75"/>
  <c r="I630" i="5"/>
  <c r="I655" i="5" s="1"/>
  <c r="L26" i="71"/>
  <c r="G435" i="5"/>
  <c r="G434" i="5" s="1"/>
  <c r="G457" i="5" s="1"/>
  <c r="G234" i="5" s="1"/>
  <c r="G117" i="5"/>
  <c r="G122" i="5" s="1"/>
  <c r="G124" i="5" s="1"/>
  <c r="G125" i="5" s="1"/>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F72" i="47"/>
  <c r="E25" i="73"/>
  <c r="E28" i="73" s="1"/>
  <c r="P30" i="71"/>
  <c r="P27" i="71"/>
  <c r="I64" i="5"/>
  <c r="I786" i="5" s="1"/>
  <c r="K23" i="72"/>
  <c r="M25" i="75"/>
  <c r="M16" i="75"/>
  <c r="P36" i="71"/>
  <c r="G52" i="71"/>
  <c r="G25" i="75"/>
  <c r="G14" i="75" s="1"/>
  <c r="P9" i="7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F28" i="48"/>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I567"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I565" i="5"/>
  <c r="I210" i="5" s="1"/>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N4457" i="18" s="1"/>
  <c r="D121" i="47"/>
  <c r="D121" i="51"/>
  <c r="I121" i="51" s="1"/>
  <c r="J121" i="51" s="1"/>
  <c r="D15" i="48"/>
  <c r="M754" i="5"/>
  <c r="X54" i="2"/>
  <c r="X56" i="2" s="1"/>
  <c r="X57" i="2" s="1"/>
  <c r="X48" i="2"/>
  <c r="X49" i="2" s="1"/>
  <c r="G55" i="51"/>
  <c r="L25" i="46"/>
  <c r="L293" i="50"/>
  <c r="G59" i="46"/>
  <c r="G40" i="46"/>
  <c r="G38" i="46"/>
  <c r="G41" i="46"/>
  <c r="L84" i="46"/>
  <c r="G70" i="46"/>
  <c r="L80" i="46"/>
  <c r="G53" i="46"/>
  <c r="E30" i="73" l="1"/>
  <c r="H4970" i="18"/>
  <c r="E30" i="74"/>
  <c r="K45" i="68"/>
  <c r="E17" i="74"/>
  <c r="E94" i="74" s="1"/>
  <c r="F129" i="21"/>
  <c r="E33" i="70"/>
  <c r="E111" i="70" s="1"/>
  <c r="M84" i="46"/>
  <c r="N84" i="46" s="1"/>
  <c r="M40" i="46"/>
  <c r="N40" i="46" s="1"/>
  <c r="M25" i="46"/>
  <c r="N25" i="46" s="1"/>
  <c r="M41" i="46"/>
  <c r="N41" i="46" s="1"/>
  <c r="M38" i="46"/>
  <c r="N38" i="46" s="1"/>
  <c r="M70" i="46"/>
  <c r="N70" i="46" s="1"/>
  <c r="Q43" i="75"/>
  <c r="F64" i="73"/>
  <c r="F66" i="73" s="1"/>
  <c r="F67" i="73" s="1"/>
  <c r="D95" i="51"/>
  <c r="I95" i="51" s="1"/>
  <c r="J95" i="51" s="1"/>
  <c r="K294" i="50"/>
  <c r="K293" i="50"/>
  <c r="M293" i="50" s="1"/>
  <c r="N293" i="50" s="1"/>
  <c r="F106" i="74"/>
  <c r="F107" i="74" s="1"/>
  <c r="F108" i="74" s="1"/>
  <c r="AA43" i="75"/>
  <c r="N4366" i="18"/>
  <c r="O4392" i="18" s="1"/>
  <c r="K289" i="50"/>
  <c r="M289" i="50" s="1"/>
  <c r="N289" i="50" s="1"/>
  <c r="Q54" i="2"/>
  <c r="Q56" i="2" s="1"/>
  <c r="Q57" i="2" s="1"/>
  <c r="K57" i="68"/>
  <c r="N52" i="71" s="1"/>
  <c r="G293" i="50"/>
  <c r="G294" i="50"/>
  <c r="AE54" i="2"/>
  <c r="AE56" i="2" s="1"/>
  <c r="AE57" i="2" s="1"/>
  <c r="N54" i="2"/>
  <c r="N56" i="2" s="1"/>
  <c r="N57" i="2" s="1"/>
  <c r="L50" i="75"/>
  <c r="L52" i="75" s="1"/>
  <c r="L53" i="75" s="1"/>
  <c r="Q14" i="75"/>
  <c r="Q36" i="75" s="1"/>
  <c r="D11" i="52"/>
  <c r="L36" i="72"/>
  <c r="D27" i="48"/>
  <c r="D55" i="52"/>
  <c r="F30" i="52" s="1"/>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L48" i="72"/>
  <c r="N4456" i="18"/>
  <c r="O4457" i="18" s="1"/>
  <c r="L57" i="68"/>
  <c r="AA52" i="71" s="1"/>
  <c r="D95" i="47"/>
  <c r="V14" i="71"/>
  <c r="V37" i="71" s="1"/>
  <c r="V51" i="71" s="1"/>
  <c r="V53" i="71" s="1"/>
  <c r="V54" i="71" s="1"/>
  <c r="F33" i="73"/>
  <c r="F52" i="73" s="1"/>
  <c r="T52" i="75"/>
  <c r="T53" i="75" s="1"/>
  <c r="U37" i="71"/>
  <c r="U51" i="71" s="1"/>
  <c r="U53" i="71" s="1"/>
  <c r="U54" i="71"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P13" i="75"/>
  <c r="G212" i="5"/>
  <c r="H14" i="71"/>
  <c r="H37" i="71" s="1"/>
  <c r="H51" i="71" s="1"/>
  <c r="H53" i="71" s="1"/>
  <c r="H54" i="71" s="1"/>
  <c r="I435" i="5"/>
  <c r="J15" i="75" s="1"/>
  <c r="J14" i="75" s="1"/>
  <c r="J36" i="75" s="1"/>
  <c r="J50" i="75" s="1"/>
  <c r="F14" i="75"/>
  <c r="F36" i="75" s="1"/>
  <c r="F50" i="75" s="1"/>
  <c r="F52" i="75" s="1"/>
  <c r="F53" i="75" s="1"/>
  <c r="G59" i="68"/>
  <c r="H68" i="68" s="1"/>
  <c r="P21" i="71"/>
  <c r="P33" i="71"/>
  <c r="E68" i="70"/>
  <c r="E85" i="70" s="1"/>
  <c r="E110" i="70" s="1"/>
  <c r="D14" i="75"/>
  <c r="D36" i="75" s="1"/>
  <c r="I193" i="5"/>
  <c r="I801" i="5" s="1"/>
  <c r="I869" i="5"/>
  <c r="I809" i="5"/>
  <c r="E82" i="69"/>
  <c r="E77" i="69"/>
  <c r="E79" i="69" s="1"/>
  <c r="E80" i="69" s="1"/>
  <c r="E89" i="74"/>
  <c r="E64" i="73"/>
  <c r="Q4395" i="18"/>
  <c r="R4395" i="18" s="1"/>
  <c r="F95" i="47"/>
  <c r="F15" i="48"/>
  <c r="F85" i="47"/>
  <c r="G81" i="47" s="1"/>
  <c r="K48" i="72"/>
  <c r="E33" i="73"/>
  <c r="E73" i="73" s="1"/>
  <c r="F121" i="47"/>
  <c r="I121" i="47" s="1"/>
  <c r="J121" i="47" s="1"/>
  <c r="F44" i="74"/>
  <c r="G50" i="72"/>
  <c r="I754" i="5"/>
  <c r="I826" i="5" s="1"/>
  <c r="M14" i="71"/>
  <c r="M37" i="71" s="1"/>
  <c r="M51" i="71" s="1"/>
  <c r="M53" i="71" s="1"/>
  <c r="M54" i="71" s="1"/>
  <c r="F55" i="47"/>
  <c r="G53" i="47" s="1"/>
  <c r="H4463" i="18"/>
  <c r="H4472" i="18" s="1"/>
  <c r="K4457" i="18" s="1"/>
  <c r="I805" i="5"/>
  <c r="D70" i="52"/>
  <c r="D22" i="52" s="1"/>
  <c r="E69" i="73"/>
  <c r="K36" i="72"/>
  <c r="I117" i="5"/>
  <c r="E51" i="74"/>
  <c r="I821" i="5"/>
  <c r="I823" i="5" s="1"/>
  <c r="I824" i="5" s="1"/>
  <c r="I192" i="5"/>
  <c r="I800" i="5" s="1"/>
  <c r="M14" i="75"/>
  <c r="M36" i="75" s="1"/>
  <c r="P25" i="75"/>
  <c r="F82" i="48"/>
  <c r="F31" i="48" s="1"/>
  <c r="M806" i="5"/>
  <c r="M807" i="5" s="1"/>
  <c r="M808" i="5" s="1"/>
  <c r="Z36" i="75"/>
  <c r="I793" i="5"/>
  <c r="I794" i="5" s="1"/>
  <c r="I842" i="5"/>
  <c r="I843" i="5" s="1"/>
  <c r="I844" i="5" s="1"/>
  <c r="P13" i="71"/>
  <c r="AC44" i="71" s="1"/>
  <c r="M826" i="5"/>
  <c r="M827" i="5" s="1"/>
  <c r="M828" i="5" s="1"/>
  <c r="I858" i="5"/>
  <c r="I859" i="5" s="1"/>
  <c r="I860" i="5" s="1"/>
  <c r="I874" i="5"/>
  <c r="I875" i="5" s="1"/>
  <c r="I876" i="5" s="1"/>
  <c r="F854" i="5"/>
  <c r="F855" i="5" s="1"/>
  <c r="F856" i="5" s="1"/>
  <c r="N15" i="75"/>
  <c r="N14" i="75" s="1"/>
  <c r="N36"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65" i="69"/>
  <c r="E90" i="69" s="1"/>
  <c r="I564" i="5"/>
  <c r="I589" i="5" s="1"/>
  <c r="N15" i="71"/>
  <c r="E83" i="69" s="1"/>
  <c r="AA15" i="71"/>
  <c r="F83" i="69" s="1"/>
  <c r="AA15" i="75"/>
  <c r="R50" i="75"/>
  <c r="R52" i="75" s="1"/>
  <c r="R53" i="75" s="1"/>
  <c r="R44" i="75"/>
  <c r="R45" i="75" s="1"/>
  <c r="F815" i="5"/>
  <c r="F816" i="5" s="1"/>
  <c r="G85" i="51"/>
  <c r="F120" i="21"/>
  <c r="AE48" i="2"/>
  <c r="AE49" i="2" s="1"/>
  <c r="AE50" i="2" s="1"/>
  <c r="J209" i="5"/>
  <c r="M564" i="5"/>
  <c r="M589" i="5" s="1"/>
  <c r="E120" i="21"/>
  <c r="E129" i="21"/>
  <c r="F589" i="5"/>
  <c r="F870" i="5" s="1"/>
  <c r="F209" i="5"/>
  <c r="G209" i="5"/>
  <c r="J855" i="5"/>
  <c r="J234" i="5"/>
  <c r="X50" i="2"/>
  <c r="M851" i="5"/>
  <c r="M852" i="5" s="1"/>
  <c r="I851" i="5"/>
  <c r="I852" i="5" s="1"/>
  <c r="G50" i="46"/>
  <c r="G63" i="46"/>
  <c r="L54" i="46"/>
  <c r="G68" i="46"/>
  <c r="H293" i="50"/>
  <c r="L53" i="46"/>
  <c r="G52" i="46"/>
  <c r="G64" i="46"/>
  <c r="G79" i="46"/>
  <c r="G62" i="46"/>
  <c r="G80" i="46"/>
  <c r="L75" i="46"/>
  <c r="G66" i="46"/>
  <c r="L55" i="46"/>
  <c r="L81" i="46"/>
  <c r="G69" i="46"/>
  <c r="G49" i="46"/>
  <c r="L79" i="46"/>
  <c r="G71" i="46"/>
  <c r="G74" i="46"/>
  <c r="G73" i="46"/>
  <c r="G72" i="46"/>
  <c r="L56" i="46"/>
  <c r="G65" i="46"/>
  <c r="L58" i="46"/>
  <c r="G67" i="46"/>
  <c r="G61" i="46"/>
  <c r="L74" i="46"/>
  <c r="L57" i="46"/>
  <c r="L78" i="46"/>
  <c r="L60" i="46"/>
  <c r="H4971" i="18" l="1"/>
  <c r="H4983" i="18"/>
  <c r="K4967" i="18" s="1"/>
  <c r="Q4967" i="18"/>
  <c r="E31" i="73"/>
  <c r="E65" i="73" s="1"/>
  <c r="E66" i="73" s="1"/>
  <c r="E67" i="73" s="1"/>
  <c r="F107" i="70"/>
  <c r="D96" i="47"/>
  <c r="D98" i="47" s="1"/>
  <c r="E97" i="47" s="1"/>
  <c r="E42" i="74"/>
  <c r="E44" i="74" s="1"/>
  <c r="E98" i="74" s="1"/>
  <c r="E99" i="74" s="1"/>
  <c r="E100" i="74" s="1"/>
  <c r="H129" i="21"/>
  <c r="D56" i="52"/>
  <c r="D17" i="52" s="1"/>
  <c r="F56" i="52"/>
  <c r="F17" i="52" s="1"/>
  <c r="D24" i="52"/>
  <c r="E59" i="70"/>
  <c r="E123" i="70" s="1"/>
  <c r="E124" i="70" s="1"/>
  <c r="E125" i="70" s="1"/>
  <c r="D96" i="51"/>
  <c r="D98" i="51" s="1"/>
  <c r="E87" i="51" s="1"/>
  <c r="H87" i="51" s="1"/>
  <c r="C47" i="2"/>
  <c r="C48" i="2" s="1"/>
  <c r="O4367" i="18"/>
  <c r="M62" i="46"/>
  <c r="N62" i="46" s="1"/>
  <c r="M60" i="46"/>
  <c r="N60" i="46" s="1"/>
  <c r="M57" i="46"/>
  <c r="N57" i="46" s="1"/>
  <c r="M71" i="46"/>
  <c r="N71" i="46" s="1"/>
  <c r="M78" i="46"/>
  <c r="N78" i="46" s="1"/>
  <c r="M56" i="46"/>
  <c r="N56" i="46" s="1"/>
  <c r="M69" i="46"/>
  <c r="N69" i="46" s="1"/>
  <c r="M54" i="46"/>
  <c r="N54" i="46" s="1"/>
  <c r="M65" i="46"/>
  <c r="N65" i="46" s="1"/>
  <c r="M80" i="46"/>
  <c r="N80" i="46" s="1"/>
  <c r="M79" i="46"/>
  <c r="N79" i="46" s="1"/>
  <c r="M68" i="46"/>
  <c r="N68" i="46" s="1"/>
  <c r="M63" i="46"/>
  <c r="N63" i="46" s="1"/>
  <c r="M53" i="46"/>
  <c r="N53" i="46" s="1"/>
  <c r="M55" i="46"/>
  <c r="N55" i="46" s="1"/>
  <c r="M67" i="46"/>
  <c r="N67" i="46" s="1"/>
  <c r="M64" i="46"/>
  <c r="N64" i="46" s="1"/>
  <c r="M74" i="46"/>
  <c r="N74" i="46" s="1"/>
  <c r="M58" i="46"/>
  <c r="N58" i="46" s="1"/>
  <c r="M73" i="46"/>
  <c r="N73" i="46" s="1"/>
  <c r="M72" i="46"/>
  <c r="N72" i="46" s="1"/>
  <c r="M66" i="46"/>
  <c r="N66" i="46" s="1"/>
  <c r="H59" i="72"/>
  <c r="N51" i="75"/>
  <c r="D50" i="75"/>
  <c r="D52" i="75" s="1"/>
  <c r="D53" i="75" s="1"/>
  <c r="AB44" i="75"/>
  <c r="AB45" i="75" s="1"/>
  <c r="AB46" i="75" s="1"/>
  <c r="Y44" i="75"/>
  <c r="Y45" i="75" s="1"/>
  <c r="Y46" i="75" s="1"/>
  <c r="I293" i="50"/>
  <c r="J293" i="50" s="1"/>
  <c r="F98" i="74"/>
  <c r="F99" i="74" s="1"/>
  <c r="F100" i="74" s="1"/>
  <c r="AC43" i="75"/>
  <c r="X44" i="75"/>
  <c r="X45" i="75" s="1"/>
  <c r="X46" i="75" s="1"/>
  <c r="U44" i="75"/>
  <c r="U45" i="75" s="1"/>
  <c r="U46" i="75" s="1"/>
  <c r="F88" i="74"/>
  <c r="F90" i="74" s="1"/>
  <c r="F91" i="74" s="1"/>
  <c r="E68" i="74"/>
  <c r="K50" i="75"/>
  <c r="K52" i="75" s="1"/>
  <c r="K53" i="75" s="1"/>
  <c r="Q44" i="75"/>
  <c r="Q45" i="75" s="1"/>
  <c r="Q46" i="75" s="1"/>
  <c r="V50" i="75"/>
  <c r="V52" i="75" s="1"/>
  <c r="V53" i="75" s="1"/>
  <c r="F77" i="73"/>
  <c r="H50" i="75"/>
  <c r="H52" i="75" s="1"/>
  <c r="H53" i="75" s="1"/>
  <c r="N50" i="75"/>
  <c r="M50" i="75"/>
  <c r="M52" i="75" s="1"/>
  <c r="M53" i="75" s="1"/>
  <c r="I853" i="5"/>
  <c r="G289" i="50"/>
  <c r="I289" i="50" s="1"/>
  <c r="J289" i="50" s="1"/>
  <c r="I50" i="75"/>
  <c r="I52" i="75" s="1"/>
  <c r="I53" i="75" s="1"/>
  <c r="H61" i="72"/>
  <c r="AA51" i="75"/>
  <c r="F40" i="48"/>
  <c r="D12" i="52"/>
  <c r="F65" i="69"/>
  <c r="F90" i="69" s="1"/>
  <c r="E19" i="47"/>
  <c r="E36" i="47"/>
  <c r="M192" i="5"/>
  <c r="M813" i="5" s="1"/>
  <c r="D123" i="47"/>
  <c r="D124" i="47" s="1"/>
  <c r="I124" i="47" s="1"/>
  <c r="J124" i="47" s="1"/>
  <c r="D124" i="51"/>
  <c r="I124" i="51" s="1"/>
  <c r="J124" i="51"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101" i="18"/>
  <c r="I5118"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I827" i="5"/>
  <c r="I828" i="5" s="1"/>
  <c r="F115" i="70"/>
  <c r="F116" i="70" s="1"/>
  <c r="F117" i="70" s="1"/>
  <c r="J15" i="71"/>
  <c r="J14" i="71" s="1"/>
  <c r="I803" i="5"/>
  <c r="I804" i="5" s="1"/>
  <c r="I434" i="5"/>
  <c r="I457" i="5" s="1"/>
  <c r="I854" i="5" s="1"/>
  <c r="I212" i="5"/>
  <c r="I814" i="5" s="1"/>
  <c r="I810" i="5"/>
  <c r="I811" i="5" s="1"/>
  <c r="I812" i="5" s="1"/>
  <c r="L4457" i="18"/>
  <c r="I7" i="18"/>
  <c r="E52" i="73"/>
  <c r="K44" i="72"/>
  <c r="K49" i="72" s="1"/>
  <c r="G69" i="47"/>
  <c r="G76" i="47"/>
  <c r="I807" i="5"/>
  <c r="I808" i="5" s="1"/>
  <c r="G43" i="47"/>
  <c r="G44" i="47"/>
  <c r="E84" i="69"/>
  <c r="E85" i="69" s="1"/>
  <c r="G79" i="47"/>
  <c r="G77" i="47"/>
  <c r="E105" i="70"/>
  <c r="E107" i="70" s="1"/>
  <c r="E108" i="70" s="1"/>
  <c r="G60" i="47"/>
  <c r="G66" i="47"/>
  <c r="G83" i="47"/>
  <c r="G65" i="47"/>
  <c r="G58" i="47"/>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G39" i="47"/>
  <c r="G36" i="47"/>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101" i="18"/>
  <c r="H5118" i="18" s="1"/>
  <c r="F83" i="48"/>
  <c r="F24" i="48" s="1"/>
  <c r="E74" i="73"/>
  <c r="E75" i="73" s="1"/>
  <c r="E76" i="73" s="1"/>
  <c r="E88" i="74"/>
  <c r="E90" i="74" s="1"/>
  <c r="I813" i="5"/>
  <c r="F19" i="48"/>
  <c r="Z50" i="75"/>
  <c r="Z52" i="75" s="1"/>
  <c r="Z53" i="75" s="1"/>
  <c r="Z44" i="75"/>
  <c r="Z45" i="75" s="1"/>
  <c r="Z46" i="75" s="1"/>
  <c r="N14" i="71"/>
  <c r="N37" i="71" s="1"/>
  <c r="N51" i="71" s="1"/>
  <c r="N53" i="71" s="1"/>
  <c r="N54" i="71" s="1"/>
  <c r="P15" i="75"/>
  <c r="E70" i="73"/>
  <c r="E71" i="73" s="1"/>
  <c r="M870" i="5"/>
  <c r="M871" i="5" s="1"/>
  <c r="M872" i="5" s="1"/>
  <c r="I870" i="5"/>
  <c r="I871" i="5" s="1"/>
  <c r="I872" i="5" s="1"/>
  <c r="I85" i="47"/>
  <c r="J85" i="47" s="1"/>
  <c r="AA14" i="71"/>
  <c r="AA37" i="71" s="1"/>
  <c r="AA51" i="71" s="1"/>
  <c r="AA53" i="71" s="1"/>
  <c r="AA54" i="71" s="1"/>
  <c r="E112" i="70"/>
  <c r="E113" i="70" s="1"/>
  <c r="P14" i="75"/>
  <c r="P36" i="75" s="1"/>
  <c r="F70" i="73"/>
  <c r="F71" i="73" s="1"/>
  <c r="F72" i="73" s="1"/>
  <c r="AA14" i="75"/>
  <c r="AA36" i="75" s="1"/>
  <c r="R46" i="75"/>
  <c r="F108" i="70"/>
  <c r="F871" i="5"/>
  <c r="F234" i="5"/>
  <c r="E91" i="47"/>
  <c r="E92" i="47"/>
  <c r="E89" i="47"/>
  <c r="E90" i="47"/>
  <c r="E93" i="47"/>
  <c r="D99" i="47"/>
  <c r="E94" i="47"/>
  <c r="E87" i="47"/>
  <c r="E96" i="47"/>
  <c r="E98" i="47" s="1"/>
  <c r="E95" i="47"/>
  <c r="J856" i="5"/>
  <c r="J877" i="5"/>
  <c r="G82" i="46"/>
  <c r="L77" i="46"/>
  <c r="H326" i="50"/>
  <c r="G51" i="46"/>
  <c r="L51" i="46"/>
  <c r="G76" i="46"/>
  <c r="G75" i="46"/>
  <c r="L76" i="46"/>
  <c r="L83" i="46"/>
  <c r="L59" i="46"/>
  <c r="G81" i="46"/>
  <c r="L4967" i="18" l="1"/>
  <c r="E95" i="51"/>
  <c r="H95" i="51" s="1"/>
  <c r="E88" i="51"/>
  <c r="H88" i="51" s="1"/>
  <c r="E106" i="74"/>
  <c r="E107" i="74" s="1"/>
  <c r="E108" i="74" s="1"/>
  <c r="E93" i="51"/>
  <c r="H93" i="51" s="1"/>
  <c r="E92" i="51"/>
  <c r="H92" i="51" s="1"/>
  <c r="E88" i="47"/>
  <c r="H78" i="47"/>
  <c r="E91" i="51"/>
  <c r="H91" i="51" s="1"/>
  <c r="E94" i="51"/>
  <c r="H94" i="51" s="1"/>
  <c r="E90" i="51"/>
  <c r="H90" i="51" s="1"/>
  <c r="E97" i="51"/>
  <c r="H97" i="51" s="1"/>
  <c r="E89" i="51"/>
  <c r="H89" i="51" s="1"/>
  <c r="D99" i="51"/>
  <c r="E96" i="51"/>
  <c r="H96" i="51" s="1"/>
  <c r="M83" i="46"/>
  <c r="N83" i="46" s="1"/>
  <c r="H23" i="47"/>
  <c r="H52" i="47"/>
  <c r="E61" i="70"/>
  <c r="E115" i="70" s="1"/>
  <c r="E116" i="70" s="1"/>
  <c r="E117" i="70" s="1"/>
  <c r="H46" i="47"/>
  <c r="H25" i="47"/>
  <c r="H16" i="47"/>
  <c r="H13" i="47"/>
  <c r="H34" i="47"/>
  <c r="H51" i="47"/>
  <c r="H36" i="47"/>
  <c r="H58" i="47"/>
  <c r="H44" i="47"/>
  <c r="H31" i="47"/>
  <c r="N52" i="75"/>
  <c r="N53" i="75" s="1"/>
  <c r="I855" i="5"/>
  <c r="I856" i="5" s="1"/>
  <c r="M59" i="46"/>
  <c r="N59" i="46" s="1"/>
  <c r="M75" i="46"/>
  <c r="N75" i="46" s="1"/>
  <c r="M82" i="46"/>
  <c r="N82" i="46" s="1"/>
  <c r="M81" i="46"/>
  <c r="N81" i="46" s="1"/>
  <c r="M76" i="46"/>
  <c r="N76" i="46" s="1"/>
  <c r="M51" i="46"/>
  <c r="N51" i="46" s="1"/>
  <c r="F93" i="74"/>
  <c r="F95" i="74" s="1"/>
  <c r="F96" i="74" s="1"/>
  <c r="E78" i="73"/>
  <c r="K50" i="72"/>
  <c r="AC51" i="75"/>
  <c r="E93" i="74"/>
  <c r="E95" i="74" s="1"/>
  <c r="E96" i="74" s="1"/>
  <c r="P50" i="75"/>
  <c r="E77" i="73"/>
  <c r="M800" i="5"/>
  <c r="M803" i="5" s="1"/>
  <c r="M804" i="5" s="1"/>
  <c r="F39" i="48"/>
  <c r="H19" i="47"/>
  <c r="I123" i="47"/>
  <c r="J123" i="47" s="1"/>
  <c r="H24" i="47"/>
  <c r="H32" i="47"/>
  <c r="H37" i="47"/>
  <c r="H33" i="47"/>
  <c r="H26" i="47"/>
  <c r="H43" i="47"/>
  <c r="H27" i="47"/>
  <c r="H49" i="47"/>
  <c r="H18" i="47"/>
  <c r="M815" i="5"/>
  <c r="M816" i="5" s="1"/>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H87" i="47" s="1"/>
  <c r="P51" i="75"/>
  <c r="L4367" i="18"/>
  <c r="G84" i="47"/>
  <c r="H80" i="47"/>
  <c r="G72" i="47"/>
  <c r="H92" i="47"/>
  <c r="F99" i="47"/>
  <c r="G90" i="47"/>
  <c r="H90" i="47" s="1"/>
  <c r="G94" i="47"/>
  <c r="H94" i="47" s="1"/>
  <c r="G91" i="47"/>
  <c r="H91" i="47" s="1"/>
  <c r="G93" i="47"/>
  <c r="H93" i="47" s="1"/>
  <c r="J52" i="71"/>
  <c r="G95" i="47"/>
  <c r="H95" i="47" s="1"/>
  <c r="G89" i="47"/>
  <c r="H89" i="47" s="1"/>
  <c r="G96" i="47"/>
  <c r="H96" i="47" s="1"/>
  <c r="I91" i="47"/>
  <c r="J91" i="47" s="1"/>
  <c r="G97" i="47"/>
  <c r="H97" i="47" s="1"/>
  <c r="I125" i="5"/>
  <c r="I787" i="5" s="1"/>
  <c r="I788" i="5" s="1"/>
  <c r="I789" i="5" s="1"/>
  <c r="G88" i="47"/>
  <c r="G28" i="47"/>
  <c r="Q5098" i="18"/>
  <c r="P8" i="18" s="1"/>
  <c r="G54" i="47"/>
  <c r="E91" i="74"/>
  <c r="AA45" i="71"/>
  <c r="AA46" i="71" s="1"/>
  <c r="AA47" i="71" s="1"/>
  <c r="E72" i="73"/>
  <c r="AC14" i="71"/>
  <c r="AC37" i="71" s="1"/>
  <c r="AC51" i="71" s="1"/>
  <c r="F76" i="73"/>
  <c r="AA50" i="75"/>
  <c r="AA52" i="75" s="1"/>
  <c r="AA53" i="75" s="1"/>
  <c r="AA44" i="75"/>
  <c r="AA45" i="75" s="1"/>
  <c r="AA46" i="75" s="1"/>
  <c r="P52" i="71"/>
  <c r="K59" i="68"/>
  <c r="K68" i="68" s="1"/>
  <c r="L68" i="68" s="1"/>
  <c r="M68" i="68" s="1"/>
  <c r="J37" i="71"/>
  <c r="J51" i="71" s="1"/>
  <c r="P14" i="71"/>
  <c r="P37" i="71" s="1"/>
  <c r="P51" i="71" s="1"/>
  <c r="W45" i="71"/>
  <c r="W46" i="71" s="1"/>
  <c r="W51" i="71"/>
  <c r="W53" i="71" s="1"/>
  <c r="W54" i="71" s="1"/>
  <c r="F872" i="5"/>
  <c r="F877" i="5"/>
  <c r="L49" i="46"/>
  <c r="L50" i="46"/>
  <c r="L52" i="46"/>
  <c r="E126" i="70" l="1"/>
  <c r="H126" i="70" s="1"/>
  <c r="E98" i="51"/>
  <c r="H88" i="47"/>
  <c r="H98" i="51"/>
  <c r="P52" i="75"/>
  <c r="P53" i="75" s="1"/>
  <c r="E79" i="73"/>
  <c r="E80" i="73" s="1"/>
  <c r="E109" i="74"/>
  <c r="F109" i="74"/>
  <c r="M50" i="46"/>
  <c r="N50" i="46" s="1"/>
  <c r="M49" i="46"/>
  <c r="N49" i="46" s="1"/>
  <c r="K61" i="72"/>
  <c r="L61" i="72" s="1"/>
  <c r="M61" i="72" s="1"/>
  <c r="K59" i="72"/>
  <c r="L59" i="72" s="1"/>
  <c r="M59" i="72" s="1"/>
  <c r="M52" i="46"/>
  <c r="N52" i="46" s="1"/>
  <c r="F78" i="73"/>
  <c r="F79" i="73" s="1"/>
  <c r="AC14" i="75"/>
  <c r="AC36" i="75" s="1"/>
  <c r="H28" i="47"/>
  <c r="AC53" i="71"/>
  <c r="AC54" i="71" s="1"/>
  <c r="E55" i="47"/>
  <c r="H54" i="47"/>
  <c r="E55" i="51"/>
  <c r="H55" i="51"/>
  <c r="E85" i="47"/>
  <c r="H72" i="47"/>
  <c r="I99" i="51"/>
  <c r="J99" i="51" s="1"/>
  <c r="J96" i="51"/>
  <c r="E85" i="51"/>
  <c r="M877" i="5"/>
  <c r="F94" i="69"/>
  <c r="W44" i="75"/>
  <c r="W45" i="75" s="1"/>
  <c r="C43" i="75" s="1"/>
  <c r="C44" i="75" s="1"/>
  <c r="E94" i="69"/>
  <c r="G85" i="47"/>
  <c r="K7" i="18"/>
  <c r="P7" i="18" s="1"/>
  <c r="H7" i="18"/>
  <c r="I96" i="47"/>
  <c r="I98" i="47" s="1"/>
  <c r="J53" i="71"/>
  <c r="J54" i="71" s="1"/>
  <c r="H98" i="47"/>
  <c r="G55" i="47"/>
  <c r="G98" i="47"/>
  <c r="I877" i="5"/>
  <c r="AC45" i="71"/>
  <c r="AC46" i="71" s="1"/>
  <c r="AC47" i="71" s="1"/>
  <c r="P53" i="71"/>
  <c r="P54" i="71" s="1"/>
  <c r="W47" i="71"/>
  <c r="G77" i="46"/>
  <c r="L61" i="46"/>
  <c r="E81" i="73" l="1"/>
  <c r="H109" i="74"/>
  <c r="M61" i="46"/>
  <c r="N61" i="46" s="1"/>
  <c r="M77" i="46"/>
  <c r="N77" i="46" s="1"/>
  <c r="AC44" i="75"/>
  <c r="AC45" i="75" s="1"/>
  <c r="AC46" i="75" s="1"/>
  <c r="F80" i="73"/>
  <c r="F81" i="73"/>
  <c r="W46" i="75"/>
  <c r="AC50" i="75"/>
  <c r="AC52" i="75" s="1"/>
  <c r="AC53" i="75" s="1"/>
  <c r="H55" i="47"/>
  <c r="H94" i="69"/>
  <c r="J96" i="47"/>
  <c r="C44" i="71"/>
  <c r="C45" i="71" s="1"/>
  <c r="J98" i="47"/>
  <c r="I99" i="47"/>
  <c r="J99" i="47" s="1"/>
  <c r="H81" i="73" l="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8" authorId="0" shapeId="0">
      <text>
        <r>
          <rPr>
            <b/>
            <sz val="9"/>
            <color indexed="81"/>
            <rFont val="Tahoma"/>
            <family val="2"/>
          </rPr>
          <t>未解决注释间差异合计。
注：本表中的“差异”，如未 √ 以示确认，则为“未解决注释间差异（存疑差异）”。</t>
        </r>
      </text>
    </comment>
    <comment ref="S4928"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3" authorId="1" shapeId="0">
      <text>
        <r>
          <rPr>
            <b/>
            <sz val="9"/>
            <rFont val="Tahoma"/>
            <family val="2"/>
          </rPr>
          <t>未解决注释间差异合计。
注：本表中的“差异”，如未 √ 以示确认，则为“未解决注释间差异（存疑差异）”。</t>
        </r>
      </text>
    </comment>
    <comment ref="K5000" authorId="2" shapeId="0">
      <text>
        <r>
          <rPr>
            <b/>
            <sz val="9"/>
            <color indexed="81"/>
            <rFont val="宋体"/>
            <family val="3"/>
            <charset val="134"/>
          </rPr>
          <t>胡晓明:
如需要，请在此设置公式，引用至注释小表中期末/本期数的单元格。</t>
        </r>
      </text>
    </comment>
    <comment ref="N5000" authorId="2" shapeId="0">
      <text>
        <r>
          <rPr>
            <b/>
            <sz val="9"/>
            <color indexed="81"/>
            <rFont val="宋体"/>
            <family val="3"/>
            <charset val="134"/>
          </rPr>
          <t>胡晓明:
如需要，请在此设置公式，引用至注释小表中期初/上期数的单元格。</t>
        </r>
      </text>
    </comment>
    <comment ref="K5010" authorId="2" shapeId="0">
      <text>
        <r>
          <rPr>
            <b/>
            <sz val="9"/>
            <color indexed="81"/>
            <rFont val="宋体"/>
            <family val="3"/>
            <charset val="134"/>
          </rPr>
          <t>胡晓明:
如需要，请在此设置公式，引用至注释小表中期末/本期数的单元格。</t>
        </r>
      </text>
    </comment>
    <comment ref="N5010" authorId="2" shapeId="0">
      <text>
        <r>
          <rPr>
            <b/>
            <sz val="9"/>
            <color indexed="81"/>
            <rFont val="宋体"/>
            <family val="3"/>
            <charset val="134"/>
          </rPr>
          <t>胡晓明:
如需要，请在此设置公式，引用至注释小表中期初/上期数的单元格。</t>
        </r>
      </text>
    </comment>
    <comment ref="K5098" authorId="2" shapeId="0">
      <text>
        <r>
          <rPr>
            <b/>
            <sz val="9"/>
            <color indexed="81"/>
            <rFont val="宋体"/>
            <family val="3"/>
            <charset val="134"/>
          </rPr>
          <t>胡晓明:
如需要，请在此设置公式，引用至注释小表中期末/本期数的单元格。</t>
        </r>
      </text>
    </comment>
    <comment ref="N5098" authorId="2" shapeId="0">
      <text>
        <r>
          <rPr>
            <b/>
            <sz val="9"/>
            <color indexed="81"/>
            <rFont val="宋体"/>
            <family val="3"/>
            <charset val="134"/>
          </rPr>
          <t>胡晓明:
如需要，请在此设置公式，引用至注释小表中期初/上期数的单元格。</t>
        </r>
      </text>
    </comment>
    <comment ref="K5121" authorId="2" shapeId="0">
      <text>
        <r>
          <rPr>
            <b/>
            <sz val="9"/>
            <color indexed="81"/>
            <rFont val="宋体"/>
            <family val="3"/>
            <charset val="134"/>
          </rPr>
          <t>胡晓明:
如需要，请在此设置公式，引用至注释小表中期末/本期数的单元格。</t>
        </r>
      </text>
    </comment>
    <comment ref="N5121" authorId="2" shapeId="0">
      <text>
        <r>
          <rPr>
            <b/>
            <sz val="9"/>
            <color indexed="81"/>
            <rFont val="宋体"/>
            <family val="3"/>
            <charset val="134"/>
          </rPr>
          <t>胡晓明:
如需要，请在此设置公式，引用至注释小表中期初/上期数的单元格。</t>
        </r>
      </text>
    </comment>
    <comment ref="K5129" authorId="2" shapeId="0">
      <text>
        <r>
          <rPr>
            <b/>
            <sz val="9"/>
            <color indexed="81"/>
            <rFont val="宋体"/>
            <family val="3"/>
            <charset val="134"/>
          </rPr>
          <t>胡晓明:
如需要，请在此设置公式，引用至注释小表中期末/本期数的单元格。</t>
        </r>
      </text>
    </comment>
    <comment ref="N5129" authorId="2" shapeId="0">
      <text>
        <r>
          <rPr>
            <b/>
            <sz val="9"/>
            <color indexed="81"/>
            <rFont val="宋体"/>
            <family val="3"/>
            <charset val="134"/>
          </rPr>
          <t>胡晓明:
如需要，请在此设置公式，引用至注释小表中期初/上期数的单元格。</t>
        </r>
      </text>
    </comment>
    <comment ref="K5138" authorId="2" shapeId="0">
      <text>
        <r>
          <rPr>
            <b/>
            <sz val="9"/>
            <color indexed="81"/>
            <rFont val="宋体"/>
            <family val="3"/>
            <charset val="134"/>
          </rPr>
          <t>胡晓明:
如需要，请在此设置公式，引用至注释小表中期末/本期数的单元格。</t>
        </r>
      </text>
    </comment>
    <comment ref="N5138" authorId="2" shapeId="0">
      <text>
        <r>
          <rPr>
            <b/>
            <sz val="9"/>
            <color indexed="81"/>
            <rFont val="宋体"/>
            <family val="3"/>
            <charset val="134"/>
          </rPr>
          <t>胡晓明:
如需要，请在此设置公式，引用至注释小表中期初/上期数的单元格。</t>
        </r>
      </text>
    </comment>
    <comment ref="K5148" authorId="2" shapeId="0">
      <text>
        <r>
          <rPr>
            <b/>
            <sz val="9"/>
            <color indexed="81"/>
            <rFont val="宋体"/>
            <family val="3"/>
            <charset val="134"/>
          </rPr>
          <t>胡晓明:
如需要，请在此设置公式，引用至注释小表中期末/本期数的单元格。</t>
        </r>
      </text>
    </comment>
    <comment ref="N5148" authorId="2" shapeId="0">
      <text>
        <r>
          <rPr>
            <b/>
            <sz val="9"/>
            <color indexed="81"/>
            <rFont val="宋体"/>
            <family val="3"/>
            <charset val="134"/>
          </rPr>
          <t>胡晓明:
如需要，请在此设置公式，引用至注释小表中期初/上期数的单元格。</t>
        </r>
      </text>
    </comment>
    <comment ref="K5158" authorId="2" shapeId="0">
      <text>
        <r>
          <rPr>
            <b/>
            <sz val="9"/>
            <color indexed="81"/>
            <rFont val="宋体"/>
            <family val="3"/>
            <charset val="134"/>
          </rPr>
          <t>胡晓明:
如需要，请在此设置公式，引用至注释小表中期末/本期数的单元格。</t>
        </r>
      </text>
    </comment>
    <comment ref="N5158" authorId="2" shapeId="0">
      <text>
        <r>
          <rPr>
            <b/>
            <sz val="9"/>
            <color indexed="81"/>
            <rFont val="宋体"/>
            <family val="3"/>
            <charset val="134"/>
          </rPr>
          <t>胡晓明:
如需要，请在此设置公式，引用至注释小表中期初/上期数的单元格。</t>
        </r>
      </text>
    </comment>
    <comment ref="S5158"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4" authorId="2" shapeId="0">
      <text>
        <r>
          <rPr>
            <b/>
            <sz val="9"/>
            <color indexed="81"/>
            <rFont val="宋体"/>
            <family val="3"/>
            <charset val="134"/>
          </rPr>
          <t>胡晓明:
如需要，请在此设置公式，引用至注释小表中期末/本期数的单元格。</t>
        </r>
      </text>
    </comment>
    <comment ref="N5174" authorId="2" shapeId="0">
      <text>
        <r>
          <rPr>
            <b/>
            <sz val="9"/>
            <color indexed="81"/>
            <rFont val="宋体"/>
            <family val="3"/>
            <charset val="134"/>
          </rPr>
          <t>胡晓明:
如需要，请在此设置公式，引用至注释小表中期初/上期数的单元格。</t>
        </r>
      </text>
    </comment>
    <comment ref="K5185" authorId="2" shapeId="0">
      <text>
        <r>
          <rPr>
            <b/>
            <sz val="9"/>
            <color indexed="81"/>
            <rFont val="宋体"/>
            <family val="3"/>
            <charset val="134"/>
          </rPr>
          <t>胡晓明:
如需要，请在此设置公式，引用至注释小表中期末/本期数的单元格。</t>
        </r>
      </text>
    </comment>
    <comment ref="N5185" authorId="2" shapeId="0">
      <text>
        <r>
          <rPr>
            <b/>
            <sz val="9"/>
            <color indexed="81"/>
            <rFont val="宋体"/>
            <family val="3"/>
            <charset val="134"/>
          </rPr>
          <t>胡晓明:
如需要，请在此设置公式，引用至注释小表中期初/上期数的单元格。</t>
        </r>
      </text>
    </comment>
    <comment ref="S5185"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6" authorId="2" shapeId="0">
      <text>
        <r>
          <rPr>
            <b/>
            <sz val="9"/>
            <color indexed="81"/>
            <rFont val="宋体"/>
            <family val="3"/>
            <charset val="134"/>
          </rPr>
          <t>胡晓明:
如需要，请在此设置公式，引用至注释小表中期末/本期数的单元格。</t>
        </r>
      </text>
    </comment>
    <comment ref="N5196" authorId="2" shapeId="0">
      <text>
        <r>
          <rPr>
            <b/>
            <sz val="9"/>
            <color indexed="81"/>
            <rFont val="宋体"/>
            <family val="3"/>
            <charset val="134"/>
          </rPr>
          <t>胡晓明:
如需要，请在此设置公式，引用至注释小表中期初/上期数的单元格。</t>
        </r>
      </text>
    </comment>
    <comment ref="K5210" authorId="2" shapeId="0">
      <text>
        <r>
          <rPr>
            <b/>
            <sz val="9"/>
            <color indexed="81"/>
            <rFont val="宋体"/>
            <family val="3"/>
            <charset val="134"/>
          </rPr>
          <t>胡晓明:
如需要，请在此设置公式，引用至注释小表中期末/本期数的单元格。</t>
        </r>
      </text>
    </comment>
    <comment ref="N5210" authorId="2" shapeId="0">
      <text>
        <r>
          <rPr>
            <b/>
            <sz val="9"/>
            <color indexed="81"/>
            <rFont val="宋体"/>
            <family val="3"/>
            <charset val="134"/>
          </rPr>
          <t>胡晓明:
如需要，请在此设置公式，引用至注释小表中期初/上期数的单元格。</t>
        </r>
      </text>
    </comment>
    <comment ref="S5210"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6" authorId="2" shapeId="0">
      <text>
        <r>
          <rPr>
            <b/>
            <sz val="9"/>
            <color indexed="81"/>
            <rFont val="宋体"/>
            <family val="3"/>
            <charset val="134"/>
          </rPr>
          <t>胡晓明:
如需要，请在此设置公式，引用至注释小表中期末/本期数的单元格。</t>
        </r>
      </text>
    </comment>
    <comment ref="N5456" authorId="2" shapeId="0">
      <text>
        <r>
          <rPr>
            <b/>
            <sz val="9"/>
            <color indexed="81"/>
            <rFont val="宋体"/>
            <family val="3"/>
            <charset val="134"/>
          </rPr>
          <t>胡晓明:
如需要，请在此设置公式，引用至注释小表中期初/上期数的单元格。</t>
        </r>
      </text>
    </comment>
    <comment ref="S5456"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0" authorId="2" shapeId="0">
      <text>
        <r>
          <rPr>
            <b/>
            <sz val="9"/>
            <color indexed="81"/>
            <rFont val="宋体"/>
            <family val="3"/>
            <charset val="134"/>
          </rPr>
          <t>胡晓明:
如需要，请在此设置公式，引用至注释小表中期初/上期数的单元格。</t>
        </r>
      </text>
    </comment>
    <comment ref="N5559" authorId="2" shapeId="0">
      <text>
        <r>
          <rPr>
            <b/>
            <sz val="9"/>
            <color indexed="81"/>
            <rFont val="宋体"/>
            <family val="3"/>
            <charset val="134"/>
          </rPr>
          <t>胡晓明:
如需要，请在此设置公式，引用至注释小表中期初/上期数的单元格。</t>
        </r>
      </text>
    </comment>
    <comment ref="K5577" authorId="2" shapeId="0">
      <text>
        <r>
          <rPr>
            <b/>
            <sz val="9"/>
            <color indexed="81"/>
            <rFont val="宋体"/>
            <family val="3"/>
            <charset val="134"/>
          </rPr>
          <t>胡晓明:
如需要，请在此设置公式，引用至注释小表中期末/本期数的单元格。</t>
        </r>
      </text>
    </comment>
    <comment ref="N5577" authorId="2" shapeId="0">
      <text>
        <r>
          <rPr>
            <b/>
            <sz val="9"/>
            <color indexed="81"/>
            <rFont val="宋体"/>
            <family val="3"/>
            <charset val="134"/>
          </rPr>
          <t>胡晓明:
如需要，请在此设置公式，引用至注释小表中期初/上期数的单元格。</t>
        </r>
      </text>
    </comment>
    <comment ref="K5603" authorId="2" shapeId="0">
      <text>
        <r>
          <rPr>
            <b/>
            <sz val="9"/>
            <color indexed="81"/>
            <rFont val="宋体"/>
            <family val="3"/>
            <charset val="134"/>
          </rPr>
          <t>胡晓明:
如需要，请在此设置公式，引用至注释小表中期末/本期数的单元格。</t>
        </r>
      </text>
    </comment>
    <comment ref="N5603" authorId="2" shapeId="0">
      <text>
        <r>
          <rPr>
            <b/>
            <sz val="9"/>
            <color indexed="81"/>
            <rFont val="宋体"/>
            <family val="3"/>
            <charset val="134"/>
          </rPr>
          <t>胡晓明:
如需要，请在此设置公式，引用至注释小表中期初/上期数的单元格。</t>
        </r>
      </text>
    </comment>
    <comment ref="S5603"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9" authorId="2" shapeId="0">
      <text>
        <r>
          <rPr>
            <b/>
            <sz val="9"/>
            <color indexed="81"/>
            <rFont val="宋体"/>
            <family val="3"/>
            <charset val="134"/>
          </rPr>
          <t>胡晓明:
如需要，请在此设置公式，引用至注释小表中期末/本期数的单元格。</t>
        </r>
      </text>
    </comment>
    <comment ref="N5649" authorId="2" shapeId="0">
      <text>
        <r>
          <rPr>
            <b/>
            <sz val="9"/>
            <color indexed="81"/>
            <rFont val="宋体"/>
            <family val="3"/>
            <charset val="134"/>
          </rPr>
          <t>胡晓明:
如需要，请在此设置公式，引用至注释小表中期初/上期数的单元格。</t>
        </r>
      </text>
    </comment>
    <comment ref="K5659" authorId="2" shapeId="0">
      <text>
        <r>
          <rPr>
            <b/>
            <sz val="9"/>
            <color indexed="81"/>
            <rFont val="宋体"/>
            <family val="3"/>
            <charset val="134"/>
          </rPr>
          <t>胡晓明:
如需要，请在此设置公式，引用至注释小表中期末/本期数的单元格。</t>
        </r>
      </text>
    </comment>
    <comment ref="N5659" authorId="2" shapeId="0">
      <text>
        <r>
          <rPr>
            <b/>
            <sz val="9"/>
            <color indexed="81"/>
            <rFont val="宋体"/>
            <family val="3"/>
            <charset val="134"/>
          </rPr>
          <t>胡晓明:
如需要，请在此设置公式，引用至注释小表中期初/上期数的单元格。</t>
        </r>
      </text>
    </comment>
    <comment ref="K5669" authorId="2" shapeId="0">
      <text>
        <r>
          <rPr>
            <b/>
            <sz val="9"/>
            <color indexed="81"/>
            <rFont val="宋体"/>
            <family val="3"/>
            <charset val="134"/>
          </rPr>
          <t>胡晓明:
如需要，请在此设置公式，引用至注释小表中期末/本期数的单元格。</t>
        </r>
      </text>
    </comment>
    <comment ref="N5669" authorId="2" shapeId="0">
      <text>
        <r>
          <rPr>
            <b/>
            <sz val="9"/>
            <color indexed="81"/>
            <rFont val="宋体"/>
            <family val="3"/>
            <charset val="134"/>
          </rPr>
          <t>胡晓明:
如需要，请在此设置公式，引用至注释小表中期初/上期数的单元格。</t>
        </r>
      </text>
    </comment>
    <comment ref="K5679" authorId="2" shapeId="0">
      <text>
        <r>
          <rPr>
            <b/>
            <sz val="9"/>
            <color indexed="81"/>
            <rFont val="宋体"/>
            <family val="3"/>
            <charset val="134"/>
          </rPr>
          <t>胡晓明:
如需要，请在此设置公式，引用至注释小表中期末/本期数的单元格。</t>
        </r>
      </text>
    </comment>
    <comment ref="N5679" authorId="2" shapeId="0">
      <text>
        <r>
          <rPr>
            <b/>
            <sz val="9"/>
            <color indexed="81"/>
            <rFont val="宋体"/>
            <family val="3"/>
            <charset val="134"/>
          </rPr>
          <t>胡晓明:
如需要，请在此设置公式，引用至注释小表中期初/上期数的单元格。</t>
        </r>
      </text>
    </comment>
    <comment ref="K5689" authorId="2" shapeId="0">
      <text>
        <r>
          <rPr>
            <b/>
            <sz val="9"/>
            <color indexed="81"/>
            <rFont val="宋体"/>
            <family val="3"/>
            <charset val="134"/>
          </rPr>
          <t>胡晓明:
如需要，请在此设置公式，引用至注释小表中期末/本期数的单元格。</t>
        </r>
      </text>
    </comment>
    <comment ref="N5689" authorId="2" shapeId="0">
      <text>
        <r>
          <rPr>
            <b/>
            <sz val="9"/>
            <color indexed="81"/>
            <rFont val="宋体"/>
            <family val="3"/>
            <charset val="134"/>
          </rPr>
          <t>胡晓明:
如需要，请在此设置公式，引用至注释小表中期初/上期数的单元格。</t>
        </r>
      </text>
    </comment>
    <comment ref="K5699" authorId="2" shapeId="0">
      <text>
        <r>
          <rPr>
            <b/>
            <sz val="9"/>
            <color indexed="81"/>
            <rFont val="宋体"/>
            <family val="3"/>
            <charset val="134"/>
          </rPr>
          <t>胡晓明:
如需要，请在此设置公式，引用至注释小表中期末/本期数的单元格。</t>
        </r>
      </text>
    </comment>
    <comment ref="N5699" authorId="2" shapeId="0">
      <text>
        <r>
          <rPr>
            <b/>
            <sz val="9"/>
            <color indexed="81"/>
            <rFont val="宋体"/>
            <family val="3"/>
            <charset val="134"/>
          </rPr>
          <t>胡晓明:
如需要，请在此设置公式，引用至注释小表中期初/上期数的单元格。</t>
        </r>
      </text>
    </comment>
    <comment ref="K5709" authorId="2" shapeId="0">
      <text>
        <r>
          <rPr>
            <b/>
            <sz val="9"/>
            <color indexed="81"/>
            <rFont val="宋体"/>
            <family val="3"/>
            <charset val="134"/>
          </rPr>
          <t>胡晓明:
如需要，请在此设置公式，引用至注释小表中期末/本期数的单元格。</t>
        </r>
      </text>
    </comment>
    <comment ref="N5709" authorId="2" shapeId="0">
      <text>
        <r>
          <rPr>
            <b/>
            <sz val="9"/>
            <color indexed="81"/>
            <rFont val="宋体"/>
            <family val="3"/>
            <charset val="134"/>
          </rPr>
          <t>胡晓明:
如需要，请在此设置公式，引用至注释小表中期初/上期数的单元格。</t>
        </r>
      </text>
    </comment>
    <comment ref="K5719" authorId="2" shapeId="0">
      <text>
        <r>
          <rPr>
            <b/>
            <sz val="9"/>
            <color indexed="81"/>
            <rFont val="宋体"/>
            <family val="3"/>
            <charset val="134"/>
          </rPr>
          <t>胡晓明:
如需要，请在此设置公式，引用至注释小表中期末/本期数的单元格。</t>
        </r>
      </text>
    </comment>
    <comment ref="N5719" authorId="2" shapeId="0">
      <text>
        <r>
          <rPr>
            <b/>
            <sz val="9"/>
            <color indexed="81"/>
            <rFont val="宋体"/>
            <family val="3"/>
            <charset val="134"/>
          </rPr>
          <t>胡晓明:
如需要，请在此设置公式，引用至注释小表中期初/上期数的单元格。</t>
        </r>
      </text>
    </comment>
    <comment ref="K5729" authorId="2" shapeId="0">
      <text>
        <r>
          <rPr>
            <b/>
            <sz val="9"/>
            <color indexed="81"/>
            <rFont val="宋体"/>
            <family val="3"/>
            <charset val="134"/>
          </rPr>
          <t>胡晓明:
如需要，请在此设置公式，引用至注释小表中期末/本期数的单元格。</t>
        </r>
      </text>
    </comment>
    <comment ref="N5729" authorId="2" shapeId="0">
      <text>
        <r>
          <rPr>
            <b/>
            <sz val="9"/>
            <color indexed="81"/>
            <rFont val="宋体"/>
            <family val="3"/>
            <charset val="134"/>
          </rPr>
          <t>胡晓明:
如需要，请在此设置公式，引用至注释小表中期初/上期数的单元格。</t>
        </r>
      </text>
    </comment>
    <comment ref="K5739" authorId="2" shapeId="0">
      <text>
        <r>
          <rPr>
            <b/>
            <sz val="9"/>
            <color indexed="81"/>
            <rFont val="宋体"/>
            <family val="3"/>
            <charset val="134"/>
          </rPr>
          <t>胡晓明:
如需要，请在此设置公式，引用至注释小表中期末/本期数的单元格。</t>
        </r>
      </text>
    </comment>
    <comment ref="N5739" authorId="2" shapeId="0">
      <text>
        <r>
          <rPr>
            <b/>
            <sz val="9"/>
            <color indexed="81"/>
            <rFont val="宋体"/>
            <family val="3"/>
            <charset val="134"/>
          </rPr>
          <t>胡晓明:
如需要，请在此设置公式，引用至注释小表中期初/上期数的单元格。</t>
        </r>
      </text>
    </comment>
    <comment ref="G5742" authorId="1" shapeId="0">
      <text>
        <r>
          <rPr>
            <sz val="9"/>
            <rFont val="Tahoma"/>
            <family val="2"/>
          </rPr>
          <t xml:space="preserve">
</t>
        </r>
        <r>
          <rPr>
            <sz val="9"/>
            <rFont val="宋体"/>
            <family val="3"/>
            <charset val="134"/>
          </rPr>
          <t>注：一般不按具体人列示</t>
        </r>
      </text>
    </comment>
    <comment ref="K5776" authorId="2" shapeId="0">
      <text>
        <r>
          <rPr>
            <b/>
            <sz val="9"/>
            <color indexed="81"/>
            <rFont val="宋体"/>
            <family val="3"/>
            <charset val="134"/>
          </rPr>
          <t>胡晓明:
如需要，请在此设置公式，引用至注释小表中期末/本期数的单元格。</t>
        </r>
      </text>
    </comment>
    <comment ref="N5776" authorId="2" shapeId="0">
      <text>
        <r>
          <rPr>
            <b/>
            <sz val="9"/>
            <color indexed="81"/>
            <rFont val="宋体"/>
            <family val="3"/>
            <charset val="134"/>
          </rPr>
          <t>胡晓明:
如需要，请在此设置公式，引用至注释小表中期初/上期数的单元格。</t>
        </r>
      </text>
    </comment>
    <comment ref="S5806"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8" authorId="2" shapeId="0">
      <text>
        <r>
          <rPr>
            <b/>
            <sz val="9"/>
            <color indexed="81"/>
            <rFont val="宋体"/>
            <family val="3"/>
            <charset val="134"/>
          </rPr>
          <t>胡晓明:
如需要，请在此设置公式，引用至注释小表中期末/本期数的单元格。</t>
        </r>
      </text>
    </comment>
    <comment ref="N5838" authorId="2" shapeId="0">
      <text>
        <r>
          <rPr>
            <b/>
            <sz val="9"/>
            <color indexed="81"/>
            <rFont val="宋体"/>
            <family val="3"/>
            <charset val="134"/>
          </rPr>
          <t>胡晓明:
如需要，请在此设置公式，引用至注释小表中期初/上期数的单元格。</t>
        </r>
      </text>
    </comment>
    <comment ref="S5838"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8" authorId="2" shapeId="0">
      <text>
        <r>
          <rPr>
            <b/>
            <sz val="9"/>
            <color indexed="81"/>
            <rFont val="宋体"/>
            <family val="3"/>
            <charset val="134"/>
          </rPr>
          <t>胡晓明:
如需要，请在此设置公式，引用至注释小表中期末/本期数的单元格。</t>
        </r>
      </text>
    </comment>
    <comment ref="N5848" authorId="2" shapeId="0">
      <text>
        <r>
          <rPr>
            <b/>
            <sz val="9"/>
            <color indexed="81"/>
            <rFont val="宋体"/>
            <family val="3"/>
            <charset val="134"/>
          </rPr>
          <t>胡晓明:
如需要，请在此设置公式，引用至注释小表中期初/上期数的单元格。</t>
        </r>
      </text>
    </comment>
    <comment ref="K5858" authorId="2" shapeId="0">
      <text>
        <r>
          <rPr>
            <b/>
            <sz val="9"/>
            <color indexed="81"/>
            <rFont val="宋体"/>
            <family val="3"/>
            <charset val="134"/>
          </rPr>
          <t>胡晓明:
如需要，请在此设置公式，引用至注释小表中期末/本期数的单元格。</t>
        </r>
      </text>
    </comment>
    <comment ref="N5858" authorId="2" shapeId="0">
      <text>
        <r>
          <rPr>
            <b/>
            <sz val="9"/>
            <color indexed="81"/>
            <rFont val="宋体"/>
            <family val="3"/>
            <charset val="134"/>
          </rPr>
          <t>胡晓明:
如需要，请在此设置公式，引用至注释小表中期初/上期数的单元格。</t>
        </r>
      </text>
    </comment>
    <comment ref="S5858"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0" authorId="2" shapeId="0">
      <text>
        <r>
          <rPr>
            <b/>
            <sz val="9"/>
            <color indexed="81"/>
            <rFont val="宋体"/>
            <family val="3"/>
            <charset val="134"/>
          </rPr>
          <t>胡晓明:
如需要，请在此设置公式，引用至注释小表中期初/上期数的单元格。</t>
        </r>
      </text>
    </comment>
    <comment ref="N5881" authorId="2" shapeId="0">
      <text>
        <r>
          <rPr>
            <b/>
            <sz val="9"/>
            <color indexed="81"/>
            <rFont val="宋体"/>
            <family val="3"/>
            <charset val="134"/>
          </rPr>
          <t>胡晓明:
如需要，请在此设置公式，引用至注释小表中期初/上期数的单元格。</t>
        </r>
      </text>
    </comment>
    <comment ref="N5892" authorId="2" shapeId="0">
      <text>
        <r>
          <rPr>
            <b/>
            <sz val="9"/>
            <color indexed="81"/>
            <rFont val="宋体"/>
            <family val="3"/>
            <charset val="134"/>
          </rPr>
          <t>胡晓明:
如需要，请在此设置公式，引用至注释小表中期初/上期数的单元格。</t>
        </r>
      </text>
    </comment>
    <comment ref="N5903" authorId="2" shapeId="0">
      <text>
        <r>
          <rPr>
            <b/>
            <sz val="9"/>
            <color indexed="81"/>
            <rFont val="宋体"/>
            <family val="3"/>
            <charset val="134"/>
          </rPr>
          <t>胡晓明:
如需要，请在此设置公式，引用至注释小表中期初/上期数的单元格。</t>
        </r>
      </text>
    </comment>
    <comment ref="N5914" authorId="2" shapeId="0">
      <text>
        <r>
          <rPr>
            <b/>
            <sz val="9"/>
            <color indexed="81"/>
            <rFont val="宋体"/>
            <family val="3"/>
            <charset val="134"/>
          </rPr>
          <t>胡晓明:
如需要，请在此设置公式，引用至注释小表中期初/上期数的单元格。</t>
        </r>
      </text>
    </comment>
    <comment ref="N5925" authorId="2" shapeId="0">
      <text>
        <r>
          <rPr>
            <b/>
            <sz val="9"/>
            <color indexed="81"/>
            <rFont val="宋体"/>
            <family val="3"/>
            <charset val="134"/>
          </rPr>
          <t>胡晓明:
如需要，请在此设置公式，引用至注释小表中期初/上期数的单元格。</t>
        </r>
      </text>
    </comment>
    <comment ref="N5936" authorId="2" shapeId="0">
      <text>
        <r>
          <rPr>
            <b/>
            <sz val="9"/>
            <color indexed="81"/>
            <rFont val="宋体"/>
            <family val="3"/>
            <charset val="134"/>
          </rPr>
          <t>胡晓明:
如需要，请在此设置公式，引用至注释小表中期初/上期数的单元格。</t>
        </r>
      </text>
    </comment>
    <comment ref="N5947" authorId="2" shapeId="0">
      <text>
        <r>
          <rPr>
            <b/>
            <sz val="9"/>
            <color indexed="81"/>
            <rFont val="宋体"/>
            <family val="3"/>
            <charset val="134"/>
          </rPr>
          <t>胡晓明:
如需要，请在此设置公式，引用至注释小表中期初/上期数的单元格。</t>
        </r>
      </text>
    </comment>
    <comment ref="N5958" authorId="2" shapeId="0">
      <text>
        <r>
          <rPr>
            <b/>
            <sz val="9"/>
            <color indexed="81"/>
            <rFont val="宋体"/>
            <family val="3"/>
            <charset val="134"/>
          </rPr>
          <t>胡晓明:
如需要，请在此设置公式，引用至注释小表中期初/上期数的单元格。</t>
        </r>
      </text>
    </comment>
    <comment ref="N5977" authorId="2" shapeId="0">
      <text>
        <r>
          <rPr>
            <b/>
            <sz val="9"/>
            <color indexed="81"/>
            <rFont val="宋体"/>
            <family val="3"/>
            <charset val="134"/>
          </rPr>
          <t>胡晓明:
如需要，请在此设置公式，引用至注释小表中期初/上期数的单元格。</t>
        </r>
      </text>
    </comment>
    <comment ref="N5998" authorId="2" shapeId="0">
      <text>
        <r>
          <rPr>
            <b/>
            <sz val="9"/>
            <color indexed="81"/>
            <rFont val="宋体"/>
            <family val="3"/>
            <charset val="134"/>
          </rPr>
          <t>胡晓明:
如需要，请在此设置公式，引用至注释小表中期初/上期数的单元格。</t>
        </r>
      </text>
    </comment>
    <comment ref="N6009" authorId="2" shapeId="0">
      <text>
        <r>
          <rPr>
            <b/>
            <sz val="9"/>
            <color indexed="81"/>
            <rFont val="宋体"/>
            <family val="3"/>
            <charset val="134"/>
          </rPr>
          <t>胡晓明:
如需要，请在此设置公式，引用至注释小表中期初/上期数的单元格。</t>
        </r>
      </text>
    </comment>
    <comment ref="N6021" authorId="2" shapeId="0">
      <text>
        <r>
          <rPr>
            <b/>
            <sz val="9"/>
            <color indexed="81"/>
            <rFont val="宋体"/>
            <family val="3"/>
            <charset val="134"/>
          </rPr>
          <t>胡晓明:
如需要，请在此设置公式，引用至注释小表中期初/上期数的单元格。</t>
        </r>
      </text>
    </comment>
    <comment ref="N6033" authorId="2" shapeId="0">
      <text>
        <r>
          <rPr>
            <b/>
            <sz val="9"/>
            <color indexed="81"/>
            <rFont val="宋体"/>
            <family val="3"/>
            <charset val="134"/>
          </rPr>
          <t>胡晓明:
如需要，请在此设置公式，引用至注释小表中期初/上期数的单元格。</t>
        </r>
      </text>
    </comment>
    <comment ref="N6056" authorId="2" shapeId="0">
      <text>
        <r>
          <rPr>
            <b/>
            <sz val="9"/>
            <color indexed="81"/>
            <rFont val="宋体"/>
            <family val="3"/>
            <charset val="134"/>
          </rPr>
          <t>胡晓明:
如需要，请在此设置公式，引用至注释小表中期初/上期数的单元格。</t>
        </r>
      </text>
    </comment>
    <comment ref="N6065" authorId="2" shapeId="0">
      <text>
        <r>
          <rPr>
            <b/>
            <sz val="9"/>
            <color indexed="81"/>
            <rFont val="宋体"/>
            <family val="3"/>
            <charset val="134"/>
          </rPr>
          <t>胡晓明:
如需要，请在此设置公式，引用至注释小表中期初/上期数的单元格。</t>
        </r>
      </text>
    </comment>
    <comment ref="N6076" authorId="2" shapeId="0">
      <text>
        <r>
          <rPr>
            <b/>
            <sz val="9"/>
            <color indexed="81"/>
            <rFont val="宋体"/>
            <family val="3"/>
            <charset val="134"/>
          </rPr>
          <t>胡晓明:
如需要，请在此设置公式，引用至注释小表中期初/上期数的单元格。</t>
        </r>
      </text>
    </comment>
    <comment ref="N6085" authorId="2" shapeId="0">
      <text>
        <r>
          <rPr>
            <b/>
            <sz val="9"/>
            <color indexed="81"/>
            <rFont val="宋体"/>
            <family val="3"/>
            <charset val="134"/>
          </rPr>
          <t>胡晓明:
如需要，请在此设置公式，引用至注释小表中期初/上期数的单元格。</t>
        </r>
      </text>
    </comment>
    <comment ref="N6094" authorId="2" shapeId="0">
      <text>
        <r>
          <rPr>
            <b/>
            <sz val="9"/>
            <color indexed="81"/>
            <rFont val="宋体"/>
            <family val="3"/>
            <charset val="134"/>
          </rPr>
          <t>胡晓明:
如需要，请在此设置公式，引用至注释小表中期初/上期数的单元格。</t>
        </r>
      </text>
    </comment>
    <comment ref="N6108" authorId="2" shapeId="0">
      <text>
        <r>
          <rPr>
            <b/>
            <sz val="9"/>
            <color indexed="81"/>
            <rFont val="宋体"/>
            <family val="3"/>
            <charset val="134"/>
          </rPr>
          <t>胡晓明:
如需要，请在此设置公式，引用至注释小表中期初/上期数的单元格。</t>
        </r>
      </text>
    </comment>
    <comment ref="N6118" authorId="2" shapeId="0">
      <text>
        <r>
          <rPr>
            <b/>
            <sz val="9"/>
            <color indexed="81"/>
            <rFont val="宋体"/>
            <family val="3"/>
            <charset val="134"/>
          </rPr>
          <t>胡晓明:
如需要，请在此设置公式，引用至注释小表中期初/上期数的单元格。</t>
        </r>
      </text>
    </comment>
    <comment ref="N6127" authorId="2" shapeId="0">
      <text>
        <r>
          <rPr>
            <b/>
            <sz val="9"/>
            <color indexed="81"/>
            <rFont val="宋体"/>
            <family val="3"/>
            <charset val="134"/>
          </rPr>
          <t>胡晓明:
如需要，请在此设置公式，引用至注释小表中期初/上期数的单元格。</t>
        </r>
      </text>
    </comment>
    <comment ref="N6138" authorId="2" shapeId="0">
      <text>
        <r>
          <rPr>
            <b/>
            <sz val="9"/>
            <color indexed="81"/>
            <rFont val="宋体"/>
            <family val="3"/>
            <charset val="134"/>
          </rPr>
          <t>胡晓明:
如需要，请在此设置公式，引用至注释小表中期初/上期数的单元格。</t>
        </r>
      </text>
    </comment>
    <comment ref="N6147" authorId="2" shapeId="0">
      <text>
        <r>
          <rPr>
            <b/>
            <sz val="9"/>
            <color indexed="81"/>
            <rFont val="宋体"/>
            <family val="3"/>
            <charset val="134"/>
          </rPr>
          <t>胡晓明:
如需要，请在此设置公式，引用至注释小表中期初/上期数的单元格。</t>
        </r>
      </text>
    </comment>
    <comment ref="N6156" authorId="2" shapeId="0">
      <text>
        <r>
          <rPr>
            <b/>
            <sz val="9"/>
            <color indexed="81"/>
            <rFont val="宋体"/>
            <family val="3"/>
            <charset val="134"/>
          </rPr>
          <t>胡晓明:
如需要，请在此设置公式，引用至注释小表中期初/上期数的单元格。</t>
        </r>
      </text>
    </comment>
    <comment ref="N6165" authorId="2" shapeId="0">
      <text>
        <r>
          <rPr>
            <b/>
            <sz val="9"/>
            <color indexed="81"/>
            <rFont val="宋体"/>
            <family val="3"/>
            <charset val="134"/>
          </rPr>
          <t>胡晓明:
如需要，请在此设置公式，引用至注释小表中期初/上期数的单元格。</t>
        </r>
      </text>
    </comment>
    <comment ref="N6187" authorId="2" shapeId="0">
      <text>
        <r>
          <rPr>
            <b/>
            <sz val="9"/>
            <color indexed="81"/>
            <rFont val="宋体"/>
            <family val="3"/>
            <charset val="134"/>
          </rPr>
          <t>胡晓明:
如需要，请在此设置公式，引用至注释小表中期初/上期数的单元格。</t>
        </r>
      </text>
    </comment>
    <comment ref="N6214" authorId="2" shapeId="0">
      <text>
        <r>
          <rPr>
            <b/>
            <sz val="9"/>
            <color indexed="81"/>
            <rFont val="宋体"/>
            <family val="3"/>
            <charset val="134"/>
          </rPr>
          <t>胡晓明:
如需要，请在此设置公式，引用至注释小表中期初/上期数的单元格。</t>
        </r>
      </text>
    </comment>
    <comment ref="N6243"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<sst xmlns="http://schemas.openxmlformats.org/spreadsheetml/2006/main" count="42324" uniqueCount="6841">
  <si>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</si>
  <si>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</si>
  <si>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</si>
  <si>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</si>
  <si>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</si>
  <si>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</si>
  <si>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</si>
  <si>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</si>
  <si>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</si>
  <si>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</si>
  <si>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</si>
  <si>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</si>
  <si>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</si>
  <si>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</si>
  <si>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</si>
  <si>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</si>
  <si>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</si>
  <si>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</si>
  <si>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</si>
  <si>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</si>
  <si>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</si>
  <si>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</si>
  <si>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</si>
  <si>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</si>
  <si>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</si>
  <si>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</si>
  <si>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</si>
  <si>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</si>
  <si>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</si>
  <si>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</si>
  <si>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</si>
  <si>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</si>
  <si>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</si>
  <si>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</si>
  <si>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</si>
  <si>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</si>
  <si>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</si>
  <si>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</si>
  <si>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</si>
  <si>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</si>
  <si>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</si>
  <si>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</si>
  <si>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</si>
  <si>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</si>
  <si>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</si>
  <si>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</si>
  <si>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</si>
  <si>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</si>
  <si>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</si>
  <si>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</si>
  <si>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</si>
  <si>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</si>
  <si>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</si>
  <si>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</si>
  <si>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</si>
  <si>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</si>
  <si>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</si>
  <si>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</si>
  <si>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</si>
  <si>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</si>
  <si>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</si>
  <si>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</si>
  <si>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</si>
  <si>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</si>
  <si>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</si>
  <si>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</si>
  <si>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</si>
  <si>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</si>
  <si>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</si>
  <si>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</si>
  <si>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</si>
  <si>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</si>
  <si>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</si>
  <si>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</si>
  <si>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</si>
  <si>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</si>
  <si>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</si>
  <si>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</si>
  <si>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</si>
  <si>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</si>
  <si>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</si>
  <si>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</si>
  <si>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</si>
  <si>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</si>
  <si>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</si>
  <si>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</si>
  <si>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</si>
  <si>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</si>
  <si>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</si>
  <si>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</si>
  <si>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</si>
  <si>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</si>
  <si>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</si>
  <si>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</si>
  <si>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</si>
  <si>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</si>
  <si>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</si>
  <si>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</si>
  <si>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</si>
  <si>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</si>
  <si>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</si>
  <si>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</si>
  <si>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</si>
  <si>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</si>
  <si>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</si>
  <si>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</si>
  <si>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</si>
  <si>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</si>
  <si>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</si>
  <si>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</si>
  <si>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</si>
  <si>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</si>
  <si>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</si>
  <si>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</si>
  <si>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</si>
  <si>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</si>
  <si>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</si>
  <si>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</si>
  <si>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</si>
  <si>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</si>
  <si>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</si>
  <si>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</si>
  <si>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</si>
  <si>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</si>
  <si>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</si>
  <si>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</si>
  <si>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</si>
  <si>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</si>
  <si>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</si>
  <si>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</si>
  <si>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</si>
  <si>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</si>
  <si>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</si>
  <si>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</si>
  <si>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</si>
  <si>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</si>
  <si>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</si>
  <si>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</si>
  <si>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</si>
  <si>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</si>
  <si>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</si>
  <si>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</si>
  <si>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</si>
  <si>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</si>
  <si>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</si>
  <si>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</si>
  <si>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</si>
  <si>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</si>
  <si>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</si>
  <si>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</si>
  <si>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</si>
  <si>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</si>
  <si>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</si>
  <si>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</si>
  <si>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</si>
  <si>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</si>
  <si>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</si>
  <si>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</si>
  <si>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</si>
  <si>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</si>
  <si>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</si>
  <si>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</si>
  <si>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</si>
  <si>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</si>
  <si>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</si>
  <si>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</si>
  <si>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</si>
  <si>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</si>
  <si>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</si>
  <si>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</si>
  <si>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</si>
  <si>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</si>
  <si>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</si>
  <si>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</si>
  <si>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</si>
  <si>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</si>
  <si>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</si>
  <si>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</si>
  <si>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</si>
  <si>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</si>
  <si>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</si>
  <si>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</si>
  <si>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</si>
  <si>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</si>
  <si>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</si>
  <si>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</si>
  <si>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</si>
  <si>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</si>
  <si>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</si>
  <si>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</si>
  <si>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</si>
  <si>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</si>
  <si>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</si>
  <si>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</si>
  <si>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</si>
  <si>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</si>
  <si>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</si>
  <si>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</si>
  <si>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</si>
  <si>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</si>
  <si>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</si>
  <si>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</si>
  <si>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</si>
  <si>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</si>
  <si>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</si>
  <si>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</si>
  <si>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</si>
  <si>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</si>
  <si>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</si>
  <si>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</si>
  <si>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</si>
  <si>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</si>
  <si>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</si>
  <si>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</si>
  <si>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</si>
  <si>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</si>
  <si>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</si>
  <si>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</si>
  <si>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</si>
  <si>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</si>
  <si>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</si>
  <si>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</si>
  <si>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</si>
  <si>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</si>
  <si>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</si>
  <si>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</si>
  <si>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</si>
  <si>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</si>
  <si>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</si>
  <si>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</si>
  <si>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</si>
  <si>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</si>
  <si>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</si>
  <si>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</si>
  <si>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</si>
  <si>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</si>
  <si>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</si>
  <si>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</si>
  <si>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</si>
  <si>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</si>
  <si>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</si>
  <si>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</si>
  <si>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</si>
  <si>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</si>
  <si>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</si>
  <si>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</si>
  <si>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</si>
  <si>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</si>
  <si>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</si>
  <si>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</si>
  <si>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</si>
  <si>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</si>
  <si>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</si>
  <si>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</si>
  <si>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</si>
  <si>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</si>
  <si>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</si>
  <si>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</si>
  <si>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</si>
  <si>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</si>
  <si>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</si>
  <si>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</si>
  <si>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</si>
  <si>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</si>
  <si>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</si>
  <si>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</si>
  <si>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</si>
  <si>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</si>
  <si>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</si>
  <si>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</si>
  <si>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</si>
  <si>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</si>
  <si>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</si>
  <si>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</si>
  <si>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</si>
  <si>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</si>
  <si>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</si>
  <si>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</si>
  <si>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</si>
  <si>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</si>
  <si>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</si>
  <si>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</si>
  <si>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</si>
  <si>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</si>
  <si>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</si>
  <si>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</si>
  <si>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</si>
  <si>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</si>
  <si>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</si>
  <si>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</si>
  <si>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</si>
  <si>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</si>
  <si>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</si>
  <si>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</si>
  <si>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</si>
  <si>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</si>
  <si>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</si>
  <si>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</si>
  <si>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</si>
  <si>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</si>
  <si>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</si>
  <si>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</si>
  <si>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</si>
  <si>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</si>
  <si>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</si>
  <si>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</si>
  <si>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</si>
  <si>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</si>
  <si>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</si>
  <si>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</si>
  <si>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</si>
  <si>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</si>
  <si>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</si>
  <si>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</si>
  <si>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</si>
  <si>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</si>
  <si>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</si>
  <si>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</si>
  <si>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</si>
  <si>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</si>
  <si>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</si>
  <si>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</si>
  <si>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</si>
  <si>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</si>
  <si>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</si>
  <si>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</si>
  <si>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</si>
  <si>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</si>
  <si>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</si>
  <si>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</si>
  <si>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</si>
  <si>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</si>
  <si>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</si>
  <si>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</si>
  <si>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</si>
  <si>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</si>
  <si>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</si>
  <si>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</si>
  <si>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</si>
  <si>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</si>
  <si>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</si>
  <si>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</si>
  <si>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</si>
  <si>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</si>
  <si>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</si>
  <si>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</si>
  <si>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</si>
  <si>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</si>
  <si>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</si>
  <si>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</si>
  <si>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</si>
  <si>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</si>
  <si>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</si>
  <si>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</si>
  <si>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</si>
  <si>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</si>
  <si>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</si>
  <si>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</si>
  <si>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</si>
  <si>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</si>
  <si>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</si>
  <si>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</si>
  <si>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</si>
  <si>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</si>
  <si>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</si>
  <si>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</si>
  <si>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</si>
  <si>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</si>
  <si>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</si>
  <si>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</si>
  <si>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</si>
  <si>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</si>
  <si>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</si>
  <si>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</si>
  <si>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</si>
  <si>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</si>
  <si>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</si>
  <si>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</si>
  <si>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</si>
  <si>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</si>
  <si>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</si>
  <si>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</si>
  <si>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</si>
  <si>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</si>
  <si>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</si>
  <si>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</si>
  <si>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</si>
  <si>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</si>
  <si>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</si>
  <si>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</si>
  <si>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</si>
  <si>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</si>
  <si>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</si>
  <si>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</si>
  <si>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</si>
  <si>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</si>
  <si>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</si>
  <si>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</si>
  <si>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</si>
  <si>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</si>
  <si>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</si>
  <si>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</si>
  <si>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</si>
  <si>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</si>
  <si>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</si>
  <si>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</si>
  <si>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</si>
  <si>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</si>
  <si>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</si>
  <si>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</si>
  <si>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</si>
  <si>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</si>
  <si>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</si>
  <si>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</si>
  <si>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</si>
  <si>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</si>
  <si>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</si>
  <si>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</si>
  <si>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</si>
  <si>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</si>
  <si>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</si>
  <si>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</si>
  <si>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</si>
  <si>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</si>
  <si>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</si>
  <si>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</si>
  <si>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</si>
  <si>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</si>
  <si>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</si>
  <si>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</si>
  <si>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</si>
  <si>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</si>
  <si>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</si>
  <si>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</si>
  <si>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</si>
  <si>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</si>
  <si>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</si>
  <si>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</si>
  <si>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</si>
  <si>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</si>
  <si>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</si>
  <si>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</si>
  <si>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</si>
  <si>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</si>
  <si>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</si>
  <si>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</si>
  <si>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</si>
  <si>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</si>
  <si>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</si>
  <si>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</si>
  <si>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</si>
  <si>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</si>
  <si>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</si>
  <si>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</si>
  <si>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</si>
  <si>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</si>
  <si>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</si>
  <si>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</si>
  <si>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</si>
  <si>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</si>
  <si>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</si>
  <si>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</si>
  <si>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</si>
  <si>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</si>
  <si>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</si>
  <si>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</si>
  <si>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</si>
  <si>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</si>
  <si>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</si>
  <si>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</si>
  <si>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</si>
  <si>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</si>
  <si>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</si>
  <si>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</si>
  <si>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</si>
  <si>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</si>
  <si>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</si>
  <si>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</si>
  <si>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</si>
  <si>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</si>
  <si>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</si>
  <si>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</si>
  <si>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</si>
  <si>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</si>
  <si>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</si>
  <si>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</si>
  <si>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</si>
  <si>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</si>
  <si>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</si>
  <si>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</si>
  <si>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</si>
  <si>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</si>
  <si>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</si>
  <si>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</si>
  <si>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</si>
  <si>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</si>
  <si>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</si>
  <si>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</si>
  <si>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</si>
  <si>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</si>
  <si>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</si>
  <si>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</si>
  <si>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</si>
  <si>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</si>
  <si>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</si>
  <si>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</si>
  <si>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</si>
  <si>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</si>
  <si>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</si>
  <si>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</si>
  <si>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</si>
  <si>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</si>
  <si>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</si>
  <si>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</si>
  <si>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</si>
  <si>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</si>
  <si>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</si>
  <si>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</si>
  <si>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</si>
  <si>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</si>
  <si>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</si>
  <si>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</si>
  <si>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</si>
  <si>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</si>
  <si>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</si>
  <si>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</si>
  <si>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</si>
  <si>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</si>
  <si>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</si>
  <si>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</si>
  <si>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</si>
  <si>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</si>
  <si>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</si>
  <si>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</si>
  <si>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</si>
  <si>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</si>
  <si>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</si>
  <si>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</si>
  <si>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</si>
  <si>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</si>
  <si>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</si>
  <si>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</si>
  <si>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</si>
  <si>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</si>
  <si>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</si>
  <si>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</si>
  <si>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</si>
  <si>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</si>
  <si>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</si>
  <si>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</si>
  <si>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</si>
  <si>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</si>
  <si>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</si>
  <si>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</si>
  <si>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</si>
  <si>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</si>
  <si>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</si>
  <si>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</si>
  <si>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</si>
  <si>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</si>
  <si>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</si>
  <si>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</si>
  <si>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</si>
  <si>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</si>
  <si>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</si>
  <si>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</si>
  <si>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</si>
  <si>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</si>
  <si>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</si>
  <si>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</si>
  <si>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</si>
  <si>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</si>
  <si>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</si>
  <si>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</si>
  <si>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</si>
  <si>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</si>
  <si>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</si>
  <si>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</si>
  <si>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</si>
  <si>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</si>
  <si>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</si>
  <si>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</si>
  <si>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</si>
  <si>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</si>
  <si>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</si>
  <si>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</si>
  <si>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</si>
  <si>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</si>
  <si>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</si>
  <si>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</si>
  <si>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</si>
  <si>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</si>
  <si>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</si>
  <si>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</si>
  <si>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</si>
  <si>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</si>
  <si>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</si>
  <si>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</si>
  <si>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</si>
  <si>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</si>
  <si>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</si>
  <si>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</si>
  <si>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</si>
  <si>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</si>
  <si>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</si>
  <si>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</si>
  <si>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</si>
  <si>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</si>
  <si>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</si>
  <si>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</si>
  <si>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</si>
  <si>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</si>
  <si>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</si>
  <si>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</si>
  <si>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</si>
  <si>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</si>
  <si>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</si>
  <si>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</si>
  <si>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</si>
  <si>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</si>
  <si>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</si>
  <si>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</si>
  <si>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</si>
  <si>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</si>
  <si>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</si>
  <si>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</si>
  <si>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</si>
  <si>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</si>
  <si>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</si>
  <si>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</si>
  <si>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</si>
  <si>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</si>
  <si>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</si>
  <si>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</si>
  <si>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</si>
  <si>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</si>
  <si>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</si>
  <si>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</si>
  <si>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</si>
  <si>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</si>
  <si>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</si>
  <si>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</si>
  <si>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</si>
  <si>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</si>
  <si>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</si>
  <si>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</si>
  <si>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</si>
  <si>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</si>
  <si>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</si>
  <si>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</si>
  <si>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</si>
  <si>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</si>
  <si>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</si>
  <si>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</si>
  <si>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</si>
  <si>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</si>
  <si>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</si>
  <si>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</si>
  <si>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</si>
  <si>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</si>
  <si>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</si>
  <si>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</si>
  <si>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</si>
  <si>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</si>
  <si>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</si>
  <si>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</si>
  <si>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</si>
  <si>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</si>
  <si>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</si>
  <si>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</si>
  <si>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</si>
  <si>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</si>
  <si>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</si>
  <si>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</si>
  <si>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</si>
  <si>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</si>
  <si>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</si>
  <si>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</si>
  <si>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</si>
  <si>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</si>
  <si>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</si>
  <si>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</si>
  <si>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</si>
  <si>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</si>
  <si>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</si>
  <si>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</si>
  <si>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</si>
  <si>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</si>
  <si>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</si>
  <si>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</si>
  <si>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</si>
  <si>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</si>
  <si>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</si>
  <si>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</si>
  <si>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</si>
  <si>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</si>
  <si>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</si>
  <si>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</si>
  <si>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</si>
  <si>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</si>
  <si>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</si>
  <si>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</si>
  <si>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</si>
  <si>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</si>
  <si>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</si>
  <si>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</si>
  <si>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</si>
  <si>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</si>
  <si>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</si>
  <si>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</si>
  <si>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</si>
  <si>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</si>
  <si>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</si>
  <si>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</si>
  <si>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</si>
  <si>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</si>
  <si>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</si>
  <si>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</si>
  <si>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</si>
  <si>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</si>
  <si>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</si>
  <si>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</si>
  <si>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</si>
  <si>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</si>
  <si>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</si>
  <si>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</si>
  <si>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</si>
  <si>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</si>
  <si>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</si>
  <si>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</si>
  <si>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</si>
  <si>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</si>
  <si>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</si>
  <si>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</si>
  <si>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</si>
  <si>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</si>
  <si>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</si>
  <si>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</si>
  <si>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</si>
  <si>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</si>
  <si>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</si>
  <si>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</si>
  <si>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</si>
  <si>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</si>
  <si>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</si>
  <si>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</si>
  <si>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</si>
  <si>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</si>
  <si>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</si>
  <si>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</si>
  <si>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</si>
  <si>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</si>
  <si>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</si>
  <si>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</si>
  <si>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</si>
  <si>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</si>
  <si>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</si>
  <si>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</si>
  <si>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</si>
  <si>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</si>
  <si>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</si>
  <si>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</si>
  <si>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</si>
  <si>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</si>
  <si>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</si>
  <si>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</si>
  <si>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</si>
  <si>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</si>
  <si>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</si>
  <si>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</si>
  <si>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</si>
  <si>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</si>
  <si>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</si>
  <si>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</si>
  <si>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</si>
  <si>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</si>
  <si>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</si>
  <si>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</si>
  <si>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</si>
  <si>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</si>
  <si>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</si>
  <si>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</si>
  <si>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</si>
  <si>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</si>
  <si>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</si>
  <si>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</si>
  <si>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</si>
  <si>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</si>
  <si>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</si>
  <si>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</si>
  <si>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</si>
  <si>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</si>
  <si>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</si>
  <si>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</si>
  <si>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</si>
  <si>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</si>
  <si>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</si>
  <si>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</si>
  <si>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</si>
  <si>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</si>
  <si>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</si>
  <si>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</si>
  <si>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</si>
  <si>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</si>
  <si>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</si>
  <si>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</si>
  <si>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</si>
  <si>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</si>
  <si>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</si>
  <si>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</si>
  <si>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</si>
  <si>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</si>
  <si>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</si>
  <si>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</si>
  <si>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</si>
  <si>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</si>
  <si>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</si>
  <si>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</si>
  <si>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</si>
  <si>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</si>
  <si>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</si>
  <si>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</si>
  <si>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</si>
  <si>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</si>
  <si>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</si>
  <si>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</si>
  <si>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</si>
  <si>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</si>
  <si>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</si>
  <si>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</si>
  <si>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</si>
  <si>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</si>
  <si>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</si>
  <si>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</si>
  <si>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</si>
  <si>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</si>
  <si>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</si>
  <si>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</si>
  <si>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</si>
  <si>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</si>
  <si>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</si>
  <si>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</si>
  <si>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</si>
  <si>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</si>
  <si>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</si>
  <si>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</si>
  <si>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</si>
  <si>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</si>
  <si>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</si>
  <si>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</si>
  <si>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</si>
  <si>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</si>
  <si>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</si>
  <si>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</si>
  <si>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</si>
  <si>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</si>
  <si>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</si>
  <si>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</si>
  <si>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</si>
  <si>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</si>
  <si>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</si>
  <si>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</si>
  <si>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</si>
  <si>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</si>
  <si>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</si>
  <si>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</si>
  <si>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</si>
  <si>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</si>
  <si>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</si>
  <si>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</si>
  <si>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</si>
  <si>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</si>
  <si>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</si>
  <si>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</si>
  <si>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</si>
  <si>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</si>
  <si>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</si>
  <si>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</si>
  <si>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</si>
  <si>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</si>
  <si>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</si>
  <si>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</si>
  <si>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</si>
  <si>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</si>
  <si>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</si>
  <si>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</si>
  <si>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</si>
  <si>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</si>
  <si>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</si>
  <si>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</si>
  <si>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</si>
  <si>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</si>
  <si>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</si>
  <si>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</si>
  <si>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</si>
  <si>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</si>
  <si>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</si>
  <si>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</si>
  <si>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</si>
  <si>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</si>
  <si>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</si>
  <si>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</si>
  <si>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</si>
  <si>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</si>
  <si>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</si>
  <si>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</si>
  <si>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</si>
  <si>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</si>
  <si>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</si>
  <si>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</si>
  <si>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</si>
  <si>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</si>
  <si>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</si>
  <si>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</si>
  <si>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</si>
  <si>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</si>
  <si>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</si>
  <si>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</si>
  <si>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</si>
  <si>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</si>
  <si>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</si>
  <si>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</si>
  <si>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</si>
  <si>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</si>
  <si>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</si>
  <si>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</si>
  <si>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</si>
  <si>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</si>
  <si>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</si>
  <si>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</si>
  <si>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</si>
  <si>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</si>
  <si>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</si>
  <si>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</si>
  <si>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</si>
  <si>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</si>
  <si>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</si>
  <si>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</si>
  <si>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</si>
  <si>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</si>
  <si>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</si>
  <si>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</si>
  <si>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</si>
  <si>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</si>
  <si>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</si>
  <si>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</si>
  <si>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</si>
  <si>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</si>
  <si>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</si>
  <si>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</si>
  <si>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</si>
  <si>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</si>
  <si>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</si>
  <si>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</si>
  <si>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</si>
  <si>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</si>
  <si>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</si>
  <si>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</si>
  <si>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</si>
  <si>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</si>
  <si>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</si>
  <si>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</si>
  <si>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</si>
  <si>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</si>
  <si>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</si>
  <si>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</si>
  <si>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</si>
  <si>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</si>
  <si>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</si>
  <si>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</si>
  <si>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</si>
  <si>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</si>
  <si>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</si>
  <si>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</si>
  <si>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</si>
  <si>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</si>
  <si>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</si>
  <si>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</si>
  <si>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</si>
  <si>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</si>
  <si>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</si>
  <si>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</si>
  <si>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</si>
  <si>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</si>
  <si>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</si>
  <si>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</si>
  <si>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</si>
  <si>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</si>
  <si>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</si>
  <si>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</si>
  <si>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</si>
  <si>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</si>
  <si>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</si>
  <si>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</si>
  <si>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</si>
  <si>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</si>
  <si>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</si>
  <si>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</si>
  <si>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</si>
  <si>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</si>
  <si>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</si>
  <si>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</si>
  <si>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</si>
  <si>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</si>
  <si>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</si>
  <si>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</si>
  <si>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</si>
  <si>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</si>
  <si>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</si>
  <si>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</si>
  <si>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</si>
  <si>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</si>
  <si>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</si>
  <si>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</si>
  <si>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</si>
  <si>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</si>
  <si>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</si>
  <si>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</si>
  <si>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</si>
  <si>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</si>
  <si>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</si>
  <si>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</si>
  <si>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</si>
  <si>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</si>
  <si>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</si>
  <si>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</si>
  <si>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</si>
  <si>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</si>
  <si>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</si>
  <si>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</si>
  <si>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</si>
  <si>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</si>
  <si>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</si>
  <si>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</si>
  <si>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</si>
  <si>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</si>
  <si>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</si>
  <si>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</si>
  <si>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</si>
  <si>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</si>
  <si>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</si>
  <si>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</si>
  <si>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</si>
  <si>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</si>
  <si>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</si>
  <si>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</si>
  <si>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</si>
  <si>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</si>
  <si>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</si>
  <si>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</si>
  <si>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</si>
  <si>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</si>
  <si>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</si>
  <si>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</si>
  <si>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</si>
  <si>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</si>
  <si>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</si>
  <si>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</si>
  <si>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</si>
  <si>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</si>
  <si>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</si>
  <si>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</si>
  <si>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</si>
  <si>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</si>
  <si>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</si>
  <si>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</si>
  <si>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</si>
  <si>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</si>
  <si>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</si>
  <si>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</si>
  <si>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</si>
  <si>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</si>
  <si>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</si>
  <si>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</si>
  <si>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</si>
  <si>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</si>
  <si>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</si>
  <si>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</si>
  <si>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</si>
  <si>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</si>
  <si>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</si>
  <si>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</si>
  <si>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</si>
  <si>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</si>
  <si>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</si>
  <si>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</si>
  <si>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</si>
  <si>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</si>
  <si>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</si>
  <si>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</si>
  <si>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</si>
  <si>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</si>
  <si>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</si>
  <si>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</si>
  <si>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</si>
  <si>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</si>
  <si>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</si>
  <si>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</si>
  <si>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</si>
  <si>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</si>
  <si>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</si>
  <si>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</si>
  <si>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</si>
  <si>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</si>
  <si>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</si>
  <si>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</si>
  <si>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</si>
  <si>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</si>
  <si>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</si>
  <si>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</si>
  <si>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</si>
  <si>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</si>
  <si>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</si>
  <si>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</si>
  <si>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</si>
  <si>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</si>
  <si>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</si>
  <si>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</si>
  <si>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</si>
  <si>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</si>
  <si>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</si>
  <si>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</si>
  <si>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</si>
  <si>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</si>
  <si>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</si>
  <si>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</si>
  <si>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</si>
  <si>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</si>
  <si>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</si>
  <si>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</si>
  <si>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</si>
  <si>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</si>
  <si>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</si>
  <si>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</si>
  <si>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</si>
  <si>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</si>
  <si>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</si>
  <si>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</si>
  <si>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</si>
  <si>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</si>
  <si>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</si>
  <si>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</si>
  <si>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</si>
  <si>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</si>
  <si>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</si>
  <si>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</si>
  <si>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</si>
  <si>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</si>
  <si>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</si>
  <si>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</si>
  <si>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</si>
  <si>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</si>
  <si>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</si>
  <si>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</si>
  <si>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</si>
  <si>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</si>
  <si>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</si>
  <si>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</si>
  <si>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</si>
  <si>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</si>
  <si>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</si>
  <si>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</si>
  <si>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</si>
  <si>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</si>
  <si>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</si>
  <si>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</si>
  <si>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</si>
  <si>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</si>
  <si>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</si>
  <si>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</si>
  <si>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</si>
  <si>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</si>
  <si>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</si>
  <si>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</si>
  <si>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</si>
  <si>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</si>
  <si>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</si>
  <si>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</si>
  <si>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</si>
  <si>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</si>
  <si>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</si>
  <si>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</si>
  <si>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</si>
  <si>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</si>
  <si>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</si>
  <si>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</si>
  <si>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</si>
  <si>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</si>
  <si>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</si>
  <si>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</si>
  <si>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</si>
  <si>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</si>
  <si>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</si>
  <si>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</si>
  <si>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</si>
  <si>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</si>
  <si>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</si>
  <si>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</si>
  <si>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</si>
  <si>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</si>
  <si>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</si>
  <si>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</si>
  <si>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</si>
  <si>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</si>
  <si>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</si>
  <si>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</si>
  <si>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</si>
  <si>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</si>
  <si>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</si>
  <si>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</si>
  <si>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</si>
  <si>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</si>
  <si>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</si>
  <si>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</si>
  <si>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</si>
  <si>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</si>
  <si>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</si>
  <si>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</si>
  <si>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</si>
  <si>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</si>
  <si>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</si>
  <si>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</si>
  <si>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</si>
  <si>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</si>
  <si>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</si>
  <si>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</si>
  <si>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</si>
  <si>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</si>
  <si>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</si>
  <si>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</si>
  <si>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</si>
  <si>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</si>
  <si>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</si>
  <si>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</si>
  <si>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</si>
  <si>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</si>
  <si>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</si>
  <si>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</si>
  <si>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</si>
  <si>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</si>
  <si>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</si>
  <si>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</si>
  <si>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</si>
  <si>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</si>
  <si>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</si>
  <si>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</si>
  <si>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</si>
  <si>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</si>
  <si>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</si>
  <si>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</si>
  <si>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</si>
  <si>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</si>
  <si>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</si>
  <si>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</si>
  <si>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</si>
  <si>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</si>
  <si>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</si>
  <si>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</si>
  <si>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</si>
  <si>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</si>
  <si>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</si>
  <si>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</si>
  <si>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</si>
  <si>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</si>
  <si>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</si>
  <si>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</si>
  <si>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</si>
  <si>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</si>
  <si>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</si>
  <si>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</si>
  <si>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</si>
  <si>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</si>
  <si>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</si>
  <si>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</si>
  <si>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</si>
  <si>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</si>
  <si>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</si>
  <si>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</si>
  <si>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</si>
  <si>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</si>
  <si>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</si>
  <si>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</si>
  <si>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</si>
  <si>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</si>
  <si>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</si>
  <si>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</si>
  <si>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</si>
  <si>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</si>
  <si>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</si>
  <si>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</si>
  <si>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</si>
  <si>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</si>
  <si>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</si>
  <si>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</si>
  <si>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</si>
  <si>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</si>
  <si>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</si>
  <si>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</si>
  <si>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</si>
  <si>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</si>
  <si>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</si>
  <si>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</si>
  <si>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</si>
  <si>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</si>
  <si>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</si>
  <si>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</si>
  <si>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</si>
  <si>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</si>
  <si>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</si>
  <si>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</si>
  <si>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</si>
  <si>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</si>
  <si>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</si>
  <si>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</si>
  <si>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</si>
  <si>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</si>
  <si>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</si>
  <si>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</si>
  <si>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</si>
  <si>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</si>
  <si>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</si>
  <si>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</si>
  <si>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</si>
  <si>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</si>
  <si>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</si>
  <si>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</si>
  <si>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</si>
  <si>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</si>
  <si>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</si>
  <si>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</si>
  <si>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</si>
  <si>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</si>
  <si>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</si>
  <si>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</si>
  <si>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</si>
  <si>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</si>
  <si>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</si>
  <si>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</si>
  <si>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</si>
  <si>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</si>
  <si>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</si>
  <si>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</si>
  <si>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</si>
  <si>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</si>
  <si>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</si>
  <si>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</si>
  <si>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</si>
  <si>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</si>
  <si>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</si>
  <si>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</si>
  <si>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</si>
  <si>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</si>
  <si>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</si>
  <si>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</si>
  <si>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</si>
  <si>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</si>
  <si>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</si>
  <si>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</si>
  <si>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</si>
  <si>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</si>
  <si>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</si>
  <si>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</si>
  <si>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</si>
  <si>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</si>
  <si>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</si>
  <si>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</si>
  <si>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</si>
  <si>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</si>
  <si>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</si>
  <si>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</si>
  <si>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</si>
  <si>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</si>
  <si>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</si>
  <si>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</si>
  <si>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</si>
  <si>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</si>
  <si>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</si>
  <si>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</si>
  <si>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</si>
  <si>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</si>
  <si>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</si>
  <si>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</si>
  <si>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</si>
  <si>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</si>
  <si>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</si>
  <si>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</si>
  <si>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</si>
  <si>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</si>
  <si>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</si>
  <si>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</si>
  <si>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</si>
  <si>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</si>
  <si>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</si>
  <si>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</si>
  <si>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</si>
  <si>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</si>
  <si>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</si>
  <si>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</si>
  <si>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</si>
  <si>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</si>
  <si>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</si>
  <si>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</si>
  <si>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</si>
  <si>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</si>
  <si>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</si>
  <si>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</si>
  <si>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</si>
  <si>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</si>
  <si>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</si>
  <si>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</si>
  <si>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</si>
  <si>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</si>
  <si>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</si>
  <si>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</si>
  <si>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</si>
  <si>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</si>
  <si>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</si>
  <si>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</si>
  <si>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</si>
  <si>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</si>
  <si>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</si>
  <si>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</si>
  <si>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</si>
  <si>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</si>
  <si>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</si>
  <si>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</si>
  <si>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</si>
  <si>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</si>
  <si>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</si>
  <si>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</si>
  <si>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</si>
  <si>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</si>
  <si>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</si>
  <si>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</si>
  <si>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</si>
  <si>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</si>
  <si>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</si>
  <si>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</si>
  <si>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</si>
  <si>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</si>
  <si>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</si>
  <si>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</si>
  <si>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</si>
  <si>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</si>
  <si>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</si>
  <si>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</si>
  <si>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</si>
  <si>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</si>
  <si>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</si>
  <si>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</si>
  <si>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</si>
  <si>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</si>
  <si>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</si>
  <si>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</si>
  <si>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</si>
  <si>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</si>
  <si>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</si>
  <si>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</si>
  <si>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</si>
  <si>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</si>
  <si>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</si>
  <si>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</si>
  <si>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</si>
  <si>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</si>
  <si>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</si>
  <si>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</si>
  <si>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</si>
  <si>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</si>
  <si>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</si>
  <si>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</si>
  <si>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</si>
  <si>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</si>
  <si>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</si>
  <si>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</si>
  <si>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</si>
  <si>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</si>
  <si>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</si>
  <si>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</si>
  <si>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</si>
  <si>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</si>
  <si>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</si>
  <si>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</si>
  <si>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</si>
  <si>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</si>
  <si>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</si>
  <si>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</si>
  <si>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</si>
  <si>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</si>
  <si>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</si>
  <si>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</si>
  <si>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</si>
  <si>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</si>
  <si>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</si>
  <si>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</si>
  <si>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</si>
  <si>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</si>
  <si>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</si>
  <si>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</si>
  <si>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</si>
  <si>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</si>
  <si>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</si>
  <si>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</si>
  <si>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</si>
  <si>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</si>
  <si>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</si>
  <si>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</si>
  <si>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</si>
  <si>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</si>
  <si>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</si>
  <si>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</si>
  <si>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</si>
  <si>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</si>
  <si>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</si>
  <si>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</si>
  <si>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</si>
  <si>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</si>
  <si>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</si>
  <si>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</si>
  <si>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</si>
  <si>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</si>
  <si>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</si>
  <si>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</si>
  <si>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</si>
  <si>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</si>
  <si>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</si>
  <si>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</si>
  <si>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</si>
  <si>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</si>
  <si>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</si>
  <si>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</si>
  <si>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</si>
  <si>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</si>
  <si>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</si>
  <si>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</si>
  <si>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</si>
  <si>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</si>
  <si>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</si>
  <si>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</si>
  <si>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</si>
  <si>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</si>
  <si>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</si>
  <si>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</si>
  <si>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</si>
  <si>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</si>
  <si>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</si>
  <si>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</si>
  <si>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</si>
  <si>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</si>
  <si>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</si>
  <si>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</si>
  <si>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</si>
  <si>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</si>
  <si>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</si>
  <si>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</si>
  <si>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</si>
  <si>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</si>
  <si>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</si>
  <si>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</si>
  <si>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</si>
  <si>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</si>
  <si>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</si>
  <si>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</si>
  <si>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</si>
  <si>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</si>
  <si>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</si>
  <si>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</si>
  <si>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</si>
  <si>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</si>
  <si>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</si>
  <si>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</si>
  <si>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</si>
  <si>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</si>
  <si>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</si>
  <si>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</si>
  <si>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</si>
  <si>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</si>
  <si>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</si>
  <si>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</si>
  <si>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</si>
  <si>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</si>
  <si>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</si>
  <si>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</si>
  <si>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</si>
  <si>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</si>
  <si>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</si>
  <si>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</si>
  <si>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</si>
  <si>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</si>
  <si>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</si>
  <si>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</si>
  <si>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</si>
  <si>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</si>
  <si>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</si>
  <si>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</si>
  <si>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</si>
  <si>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</si>
  <si>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</si>
  <si>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</si>
  <si>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</si>
  <si>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</si>
  <si>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</si>
  <si>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</si>
  <si>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</si>
  <si>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</si>
  <si>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</si>
  <si>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</si>
  <si>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</si>
  <si>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</si>
  <si>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</si>
  <si>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</si>
  <si>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</si>
  <si>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</si>
  <si>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</si>
  <si>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</si>
  <si>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</si>
  <si>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</si>
  <si>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</si>
  <si>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</si>
  <si>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</si>
  <si>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</si>
  <si>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</si>
  <si>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</si>
  <si>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</si>
  <si>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</si>
  <si>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</si>
  <si>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</si>
  <si>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</si>
  <si>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</si>
  <si>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</si>
  <si>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</si>
  <si>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</si>
  <si>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</si>
  <si>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</si>
  <si>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</si>
  <si>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</si>
  <si>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</si>
  <si>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</si>
  <si>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</si>
  <si>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</si>
  <si>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</si>
  <si>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</si>
  <si>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</si>
  <si>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</si>
  <si>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</si>
  <si>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</si>
  <si>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</si>
  <si>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</si>
  <si>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</si>
  <si>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</si>
  <si>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</si>
  <si>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</si>
  <si>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</si>
  <si>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</si>
  <si>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</si>
  <si>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</si>
  <si>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</si>
  <si>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</si>
  <si>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</si>
  <si>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</si>
  <si>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</si>
  <si>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</si>
  <si>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</si>
  <si>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</si>
  <si>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</si>
  <si>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</si>
  <si>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</si>
  <si>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</si>
  <si>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</si>
  <si>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</si>
  <si>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</si>
  <si>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</si>
  <si>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</si>
  <si>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</si>
  <si>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</si>
  <si>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</si>
  <si>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</si>
  <si>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</si>
  <si>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</si>
  <si>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</si>
  <si>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</si>
  <si>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</si>
  <si>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</si>
  <si>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</si>
  <si>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</si>
  <si>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</si>
  <si>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</si>
  <si>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</si>
  <si>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</si>
  <si>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</si>
  <si>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</si>
  <si>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</si>
  <si>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</si>
  <si>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</si>
  <si>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</si>
  <si>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</si>
  <si>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</si>
  <si>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</si>
  <si>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</si>
  <si>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</si>
  <si>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</si>
  <si>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</si>
  <si>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</si>
  <si>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</si>
  <si>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</si>
  <si>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</si>
  <si>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</si>
  <si>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</si>
  <si>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</si>
  <si>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</si>
  <si>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</si>
  <si>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</si>
  <si>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</si>
  <si>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</si>
  <si>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</si>
  <si>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</si>
  <si>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</si>
  <si>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</si>
  <si>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</si>
  <si>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</si>
  <si>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</si>
  <si>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</si>
  <si>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</si>
  <si>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</si>
  <si>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</si>
  <si>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</si>
  <si>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</si>
  <si>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</si>
  <si>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</si>
  <si>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</si>
  <si>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</si>
  <si>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</si>
  <si>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</si>
  <si>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</si>
  <si>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</si>
  <si>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</si>
  <si>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</si>
  <si>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</si>
  <si>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</si>
  <si>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</si>
  <si>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</si>
  <si>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</si>
  <si>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</si>
  <si>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</si>
  <si>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</si>
  <si>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</si>
  <si>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</si>
  <si>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</si>
  <si>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</si>
  <si>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</si>
  <si>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</si>
  <si>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</si>
  <si>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</si>
  <si>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</si>
  <si>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</si>
  <si>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</si>
  <si>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</si>
  <si>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</si>
  <si>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</si>
  <si>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</si>
  <si>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</si>
  <si>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</si>
  <si>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</si>
  <si>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</si>
  <si>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</si>
  <si>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</si>
  <si>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</si>
  <si>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</si>
  <si>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</si>
  <si>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</si>
  <si>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</si>
  <si>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</si>
  <si>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</si>
  <si>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</si>
  <si>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</si>
  <si>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</si>
  <si>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</si>
  <si>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</si>
  <si>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</si>
  <si>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</si>
  <si>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</si>
  <si>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</si>
  <si>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</si>
  <si>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</si>
  <si>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</si>
  <si>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</si>
  <si>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</si>
  <si>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</si>
  <si>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</si>
  <si>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</si>
  <si>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</si>
  <si>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</si>
  <si>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</si>
  <si>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</si>
  <si>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</si>
  <si>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</si>
  <si>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</si>
  <si>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</si>
  <si>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</si>
  <si>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</si>
  <si>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</si>
  <si>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</si>
  <si>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</si>
  <si>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</si>
  <si>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</si>
  <si>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</si>
  <si>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</si>
  <si>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</si>
  <si>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</si>
  <si>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</si>
  <si>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</si>
  <si>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</si>
  <si>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</si>
  <si>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</si>
  <si>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</si>
  <si>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</si>
  <si>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</si>
  <si>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</si>
  <si>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</si>
  <si>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</si>
  <si>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</si>
  <si>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</si>
  <si>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</si>
  <si>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</si>
  <si>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</si>
  <si>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</si>
  <si>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</si>
  <si>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</si>
  <si>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</si>
  <si>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</si>
  <si>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</si>
  <si>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</si>
  <si>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</si>
  <si>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</si>
  <si>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</si>
  <si>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</si>
  <si>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</si>
  <si>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</si>
  <si>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</si>
  <si>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</si>
  <si>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</si>
  <si>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</si>
  <si>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</si>
  <si>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</si>
  <si>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</si>
  <si>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</si>
  <si>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</si>
  <si>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</si>
  <si>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</si>
  <si>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</si>
  <si>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</si>
  <si>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</si>
  <si>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</si>
  <si>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</si>
  <si>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</si>
  <si>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</si>
  <si>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</si>
  <si>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</si>
  <si>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</si>
  <si>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</si>
  <si>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</si>
  <si>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</si>
  <si>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</si>
  <si>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</si>
  <si>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</si>
  <si>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</si>
  <si>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</si>
  <si>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</si>
  <si>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</si>
  <si>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</si>
  <si>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</si>
  <si>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</si>
  <si>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</si>
  <si>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</si>
  <si>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</si>
  <si>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</si>
  <si>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</si>
  <si>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</si>
  <si>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</si>
  <si>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</si>
  <si>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</si>
  <si>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</si>
  <si>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</si>
  <si>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</si>
  <si>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</si>
  <si>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</si>
  <si>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</si>
  <si>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</si>
  <si>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</si>
  <si>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</si>
  <si>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</si>
  <si>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</si>
  <si>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</si>
  <si>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</si>
  <si>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</si>
  <si>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</si>
  <si>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</si>
  <si>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</si>
  <si>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</si>
  <si>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</si>
  <si>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</si>
  <si>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</si>
  <si>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</si>
  <si>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</si>
  <si>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</si>
  <si>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</si>
  <si>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</si>
  <si>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</si>
  <si>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</si>
  <si>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</si>
  <si>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</si>
  <si>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</si>
  <si>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</si>
  <si>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</si>
  <si>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</si>
  <si>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</si>
  <si>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</si>
  <si>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</si>
  <si>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</si>
  <si>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</si>
  <si>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</si>
  <si>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</si>
  <si>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</si>
  <si>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</si>
  <si>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</si>
  <si>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</si>
  <si>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</si>
  <si>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</si>
  <si>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</si>
  <si>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</si>
  <si>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</si>
  <si>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</si>
  <si>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</si>
  <si>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</si>
  <si>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</si>
  <si>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</si>
  <si>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</si>
  <si>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</si>
  <si>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</si>
  <si>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</si>
  <si>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</si>
  <si>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</si>
  <si>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</si>
  <si>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</si>
  <si>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</si>
  <si>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</si>
  <si>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</si>
  <si>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</si>
  <si>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</si>
  <si>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</si>
  <si>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</si>
  <si>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</si>
  <si>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</si>
  <si>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</si>
  <si>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</si>
  <si>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</si>
  <si>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</si>
  <si>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</si>
  <si>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</si>
  <si>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</si>
  <si>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</si>
  <si>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</si>
  <si>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</si>
  <si>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</si>
  <si>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</si>
  <si>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</si>
  <si>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</si>
  <si>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</si>
  <si>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</si>
  <si>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</si>
  <si>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</si>
  <si>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</si>
  <si>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</si>
  <si>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</si>
  <si>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</si>
  <si>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</si>
  <si>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</si>
  <si>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</si>
  <si>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</si>
  <si>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</si>
  <si>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</si>
  <si>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</si>
  <si>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</si>
  <si>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</si>
  <si>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</si>
  <si>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</si>
  <si>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</si>
  <si>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</si>
  <si>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</si>
  <si>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</si>
  <si>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</si>
  <si>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</si>
  <si>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</si>
  <si>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</si>
  <si>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</si>
  <si>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</si>
  <si>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</si>
  <si>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</si>
  <si>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</si>
  <si>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</si>
  <si>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</si>
  <si>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</si>
  <si>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</si>
  <si>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</si>
  <si>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</si>
  <si>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</si>
  <si>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</si>
  <si>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</si>
  <si>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</si>
  <si>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</si>
  <si>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</si>
  <si>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</si>
  <si>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</si>
  <si>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</si>
  <si>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</si>
  <si>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</si>
  <si>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</si>
  <si>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</si>
  <si>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</si>
  <si>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</si>
  <si>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</si>
  <si>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</si>
  <si>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</si>
  <si>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</si>
  <si>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</si>
  <si>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</si>
  <si>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</si>
  <si>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</si>
  <si>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</si>
  <si>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</si>
  <si>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</si>
  <si>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</si>
  <si>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</si>
  <si>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</si>
  <si>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</si>
  <si>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</si>
  <si>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</si>
  <si>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</si>
  <si>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</si>
  <si>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</si>
  <si>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</si>
  <si>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</si>
  <si>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</si>
  <si>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</si>
  <si>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</si>
  <si>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</si>
  <si>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</si>
  <si>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</si>
  <si>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</si>
  <si>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</si>
  <si>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</si>
  <si>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</si>
  <si>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</si>
  <si>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</si>
  <si>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</si>
  <si>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</si>
  <si>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</si>
  <si>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</si>
  <si>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</si>
  <si>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</si>
  <si>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</si>
  <si>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</si>
  <si>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</si>
  <si>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</si>
  <si>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</si>
  <si>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</si>
  <si>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</si>
  <si>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</si>
  <si>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</si>
  <si>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</si>
  <si>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</si>
  <si>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</si>
  <si>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</si>
  <si>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</si>
  <si>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</si>
  <si>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</si>
  <si>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</si>
  <si>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</si>
  <si>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</si>
  <si>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</si>
  <si>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</si>
  <si>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</si>
  <si>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</si>
  <si>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</si>
  <si>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</si>
  <si>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</si>
  <si>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</si>
  <si>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</si>
  <si>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</si>
  <si>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</si>
  <si>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</si>
  <si>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</si>
  <si>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</si>
  <si>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</si>
  <si>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</si>
  <si>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</si>
  <si>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</si>
  <si>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</si>
  <si>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</si>
  <si>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</si>
  <si>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</si>
  <si>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</si>
  <si>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</si>
  <si>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</si>
  <si>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</si>
  <si>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</si>
  <si>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</si>
  <si>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</si>
  <si>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</si>
  <si>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</si>
  <si>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</si>
  <si>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</si>
  <si>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</si>
  <si>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</si>
  <si>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</si>
  <si>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</si>
  <si>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</si>
  <si>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</si>
  <si>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</si>
  <si>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</si>
  <si>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</si>
  <si>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</si>
  <si>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</si>
  <si>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</si>
  <si>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</si>
  <si>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</si>
  <si>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</si>
  <si>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</si>
  <si>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</si>
  <si>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</si>
  <si>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</si>
  <si>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</si>
  <si>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</si>
  <si>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</si>
  <si>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</si>
  <si>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</si>
  <si>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</si>
  <si>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</si>
  <si>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</si>
  <si>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</si>
  <si>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</si>
  <si>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</si>
  <si>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</si>
  <si>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</si>
  <si>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</si>
  <si>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</si>
  <si>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</si>
  <si>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</si>
  <si>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</si>
  <si>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</si>
  <si>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</si>
  <si>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</si>
  <si>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</si>
  <si>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</si>
  <si>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</si>
  <si>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</si>
  <si>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</si>
  <si>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</si>
  <si>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</si>
  <si>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</si>
  <si>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</si>
  <si>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</si>
  <si>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</si>
  <si>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</si>
  <si>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</si>
  <si>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</si>
  <si>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</si>
  <si>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</si>
  <si>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</si>
  <si>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</si>
  <si>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</si>
  <si>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</si>
  <si>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</si>
  <si>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</si>
  <si>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</si>
  <si>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</si>
  <si>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</si>
  <si>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</si>
  <si>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</si>
  <si>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</si>
  <si>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</si>
  <si>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</si>
  <si>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</si>
  <si>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</si>
  <si>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</si>
  <si>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</si>
  <si>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</si>
  <si>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</si>
  <si>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</si>
  <si>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</si>
  <si>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</si>
  <si>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</si>
  <si>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</si>
  <si>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</si>
  <si>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</si>
  <si>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</si>
  <si>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</si>
  <si>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</si>
  <si>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</si>
  <si>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</si>
  <si>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</si>
  <si>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</si>
  <si>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</si>
  <si>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</si>
  <si>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</si>
  <si>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</si>
  <si>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</si>
  <si>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</si>
  <si>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</si>
  <si>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</si>
  <si>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</si>
  <si>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</si>
  <si>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</si>
  <si>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</si>
  <si>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</si>
  <si>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</si>
  <si>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</si>
  <si>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</si>
  <si>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</si>
  <si>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</si>
  <si>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</si>
  <si>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</si>
  <si>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</si>
  <si>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</si>
  <si>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</si>
  <si>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</si>
  <si>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</si>
  <si>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</si>
  <si>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</si>
  <si>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</si>
  <si>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</si>
  <si>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</si>
  <si>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</si>
  <si>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</si>
  <si>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</si>
  <si>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</si>
  <si>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</si>
  <si>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</si>
  <si>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</si>
  <si>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</si>
  <si>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</si>
  <si>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</si>
  <si>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</si>
  <si>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</si>
  <si>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</si>
  <si>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</si>
  <si>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</si>
  <si>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</si>
  <si>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</si>
  <si>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</si>
  <si>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</si>
  <si>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</si>
  <si>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</si>
  <si>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</si>
  <si>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</si>
  <si>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</si>
  <si>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</si>
  <si>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</si>
  <si>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</si>
  <si>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</si>
  <si>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</si>
  <si>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</si>
  <si>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</si>
  <si>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</si>
  <si>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</si>
  <si>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</si>
  <si>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</si>
  <si>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</si>
  <si>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</si>
  <si>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</si>
  <si>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</si>
  <si>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</si>
  <si>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</si>
  <si>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</si>
  <si>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</si>
  <si>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</si>
  <si>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</si>
  <si>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</si>
  <si>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</si>
  <si>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</si>
  <si>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</si>
  <si>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</si>
  <si>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</si>
  <si>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</si>
  <si>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</si>
  <si>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</si>
  <si>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</si>
  <si>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</si>
  <si>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</si>
  <si>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</si>
  <si>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</si>
  <si>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</si>
  <si>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</si>
  <si>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</si>
  <si>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</si>
  <si>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</si>
  <si>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</si>
  <si>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</si>
  <si>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</si>
  <si>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</si>
  <si>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</si>
  <si>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</si>
  <si>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</si>
  <si>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</si>
  <si>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</si>
  <si>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</si>
  <si>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</si>
  <si>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</si>
  <si>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</si>
  <si>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</si>
  <si>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</si>
  <si>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</si>
  <si>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</si>
  <si>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</si>
  <si>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</si>
  <si>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</si>
  <si>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</si>
  <si>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</si>
  <si>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</si>
  <si>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</si>
  <si>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</si>
  <si>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</si>
  <si>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</si>
  <si>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</si>
  <si>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</si>
  <si>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</si>
  <si>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</si>
  <si>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</si>
  <si>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</si>
  <si>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</si>
  <si>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</si>
  <si>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</si>
  <si>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</si>
  <si>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</si>
  <si>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</si>
  <si>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</si>
  <si>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</si>
  <si>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</si>
  <si>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</si>
  <si>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</si>
  <si>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</si>
  <si>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</si>
  <si>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</si>
  <si>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</si>
  <si>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</si>
  <si>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</si>
  <si>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</si>
  <si>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</si>
  <si>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</si>
  <si>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</si>
  <si>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</si>
  <si>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</si>
  <si>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</si>
  <si>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</si>
  <si>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</si>
  <si>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</si>
  <si>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</si>
  <si>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</si>
  <si>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</si>
  <si>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</si>
  <si>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</si>
  <si>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</si>
  <si>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</si>
  <si>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</si>
  <si>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</si>
  <si>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</si>
  <si>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</si>
  <si>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</si>
  <si>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</si>
  <si>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</si>
  <si>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</si>
  <si>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</si>
  <si>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</si>
  <si>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</si>
  <si>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</si>
  <si>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</si>
  <si>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</si>
  <si>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</si>
  <si>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</si>
  <si>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</si>
  <si>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</si>
  <si>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</si>
  <si>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</si>
  <si>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</si>
  <si>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</si>
  <si>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</si>
  <si>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</si>
  <si>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</si>
  <si>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</si>
  <si>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</si>
  <si>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</si>
  <si>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</si>
  <si>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</si>
  <si>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</si>
  <si>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</si>
  <si>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</si>
  <si>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</si>
  <si>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</si>
  <si>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</si>
  <si>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</si>
  <si>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</si>
  <si>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</si>
  <si>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</si>
  <si>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</si>
  <si>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</si>
  <si>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</si>
  <si>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</si>
  <si>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</si>
  <si>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</si>
  <si>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</si>
  <si>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</si>
  <si>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</si>
  <si>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</si>
  <si>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</si>
  <si>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</si>
  <si>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</si>
  <si>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</si>
  <si>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</si>
  <si>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</si>
  <si>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</si>
  <si>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</si>
  <si>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</si>
  <si>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</si>
  <si>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</si>
  <si>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</si>
  <si>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</si>
  <si>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</si>
  <si>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</si>
  <si>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</si>
  <si>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</si>
  <si>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</si>
  <si>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</si>
  <si>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</si>
  <si>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</si>
  <si>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</si>
  <si>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</si>
  <si>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</si>
  <si>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</si>
  <si>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</si>
  <si>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</si>
  <si>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</si>
  <si>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</si>
  <si>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</si>
  <si>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</si>
  <si>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</si>
  <si>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</si>
  <si>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</si>
  <si>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</si>
  <si>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</si>
  <si>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</si>
  <si>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</si>
  <si>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</si>
  <si>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</si>
  <si>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</si>
  <si>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</si>
  <si>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</si>
  <si>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</si>
  <si>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</si>
  <si>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</si>
  <si>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</si>
  <si>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</si>
  <si>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</si>
  <si>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</si>
  <si>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</si>
  <si>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</si>
  <si>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</si>
  <si>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</si>
  <si>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</si>
  <si>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</si>
  <si>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</si>
  <si>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</si>
  <si>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</si>
  <si>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</si>
  <si>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</si>
  <si>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</si>
  <si>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</si>
  <si>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</si>
  <si>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</si>
  <si>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</si>
  <si>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</si>
  <si>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</si>
  <si>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</si>
  <si>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</si>
  <si>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</si>
  <si>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</si>
  <si>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</si>
  <si>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</si>
  <si>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</si>
  <si>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</si>
  <si>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</si>
  <si>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</si>
  <si>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</si>
  <si>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</si>
  <si>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</si>
  <si>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</si>
  <si>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</si>
  <si>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</si>
  <si>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</si>
  <si>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</si>
  <si>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</si>
  <si>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</si>
  <si>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</si>
  <si>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</si>
  <si>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</si>
  <si>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</si>
  <si>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</si>
  <si>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</si>
  <si>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</si>
  <si>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</si>
  <si>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</si>
  <si>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</si>
  <si>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</si>
  <si>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</si>
  <si>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</si>
  <si>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</si>
  <si>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</si>
  <si>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</si>
  <si>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</si>
  <si>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</si>
  <si>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</si>
  <si>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</si>
  <si>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</si>
  <si>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</si>
  <si>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</si>
  <si>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</si>
  <si>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</si>
  <si>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</si>
  <si>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</si>
  <si>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</si>
  <si>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</si>
  <si>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</si>
  <si>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</si>
  <si>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</si>
  <si>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</si>
  <si>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</si>
  <si>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</si>
  <si>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</si>
  <si>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</si>
  <si>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</si>
  <si>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</si>
  <si>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</si>
  <si>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</si>
  <si>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</si>
  <si>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</si>
  <si>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</si>
  <si>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</si>
  <si>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</si>
  <si>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</si>
  <si>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</si>
  <si>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</si>
  <si>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</si>
  <si>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</si>
  <si>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</si>
  <si>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</si>
  <si>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</si>
  <si>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</si>
  <si>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</si>
  <si>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</si>
  <si>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</si>
  <si>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</si>
  <si>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</si>
  <si>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</si>
  <si>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</si>
  <si>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</si>
  <si>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</si>
  <si>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</si>
  <si>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</si>
  <si>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</si>
  <si>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</si>
  <si>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</si>
  <si>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</si>
  <si>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</si>
  <si>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</si>
  <si>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</si>
  <si>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</si>
  <si>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</si>
  <si>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</si>
  <si>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</si>
  <si>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</si>
  <si>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</si>
  <si>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</si>
  <si>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</si>
  <si>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</si>
  <si>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</si>
  <si>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</si>
  <si>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</si>
  <si>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</si>
  <si>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</si>
  <si>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</si>
  <si>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</si>
  <si>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</si>
  <si>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</si>
  <si>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</si>
  <si>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</si>
  <si>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</si>
  <si>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</si>
  <si>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</si>
  <si>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</si>
  <si>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</si>
  <si>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</si>
  <si>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</si>
  <si>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</si>
  <si>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</si>
  <si>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</si>
  <si>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</si>
  <si>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</si>
  <si>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</si>
  <si>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</si>
  <si>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</si>
  <si>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</si>
  <si>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</si>
  <si>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</si>
  <si>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</si>
  <si>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</si>
  <si>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</si>
  <si>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</si>
  <si>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</si>
  <si>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</si>
  <si>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</si>
  <si>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</si>
  <si>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</si>
  <si>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</si>
  <si>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</si>
  <si>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</si>
  <si>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</si>
  <si>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</si>
  <si>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</si>
  <si>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</si>
  <si>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</si>
  <si>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</si>
  <si>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</si>
  <si>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</si>
  <si>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</si>
  <si>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</si>
  <si>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</si>
  <si>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</si>
  <si>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</si>
  <si>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</si>
  <si>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</si>
  <si>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</si>
  <si>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</si>
  <si>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</si>
  <si>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</si>
  <si>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</si>
  <si>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</si>
  <si>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</si>
  <si>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</si>
  <si>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</si>
  <si>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</si>
  <si>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</si>
  <si>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</si>
  <si>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</si>
  <si>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</si>
  <si>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</si>
  <si>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</si>
  <si>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</si>
  <si>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</si>
  <si>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</si>
  <si>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</si>
  <si>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</si>
  <si>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</si>
  <si>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</si>
  <si>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</si>
  <si>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</si>
  <si>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</si>
  <si>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</si>
  <si>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</si>
  <si>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</si>
  <si>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</si>
  <si>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</si>
  <si>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</si>
  <si>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</si>
  <si>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</si>
  <si>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</si>
  <si>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</si>
  <si>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</si>
  <si>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</si>
  <si>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</si>
  <si>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</si>
  <si>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</si>
  <si>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</si>
  <si>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</si>
  <si>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</si>
  <si>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</si>
  <si>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</si>
  <si>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</si>
  <si>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</si>
  <si>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</si>
  <si>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</si>
  <si>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</si>
  <si>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</si>
  <si>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</si>
  <si>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</si>
  <si>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</si>
  <si>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</si>
  <si>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</si>
  <si>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</si>
  <si>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</si>
  <si>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</si>
  <si>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</si>
  <si>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</si>
  <si>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</si>
  <si>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</si>
  <si>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</si>
  <si>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</si>
  <si>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</si>
  <si>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</si>
  <si>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</si>
  <si>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</si>
  <si>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</si>
  <si>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</si>
  <si>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</si>
  <si>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</si>
  <si>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</si>
  <si>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</si>
  <si>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</si>
  <si>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</si>
  <si>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</si>
  <si>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</si>
  <si>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</si>
  <si>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</si>
  <si>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</si>
  <si>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</si>
  <si>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</si>
  <si>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</si>
  <si>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</si>
  <si>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</si>
  <si>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</si>
  <si>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</si>
  <si>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</si>
  <si>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</si>
  <si>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</si>
  <si>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</si>
  <si>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</si>
  <si>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</si>
  <si>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</si>
  <si>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</si>
  <si>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</si>
  <si>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</si>
  <si>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</si>
  <si>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</si>
  <si>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</si>
  <si>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</si>
  <si>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</si>
  <si>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</si>
  <si>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</si>
  <si>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</si>
  <si>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</si>
  <si>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</si>
  <si>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</si>
  <si>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</si>
  <si>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</si>
  <si>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</si>
  <si>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</si>
  <si>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</si>
  <si>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</si>
  <si>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</si>
  <si>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</si>
  <si>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</si>
  <si>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</si>
  <si>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</si>
  <si>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</si>
  <si>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</si>
  <si>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</si>
  <si>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</si>
  <si>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</si>
  <si>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</si>
  <si>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</si>
  <si>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</si>
  <si>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</si>
  <si>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</si>
  <si>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</si>
  <si>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</si>
  <si>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</si>
  <si>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</si>
  <si>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</si>
  <si>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</si>
  <si>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</si>
  <si>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</si>
  <si>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</si>
  <si>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</si>
  <si>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</si>
  <si>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</si>
  <si>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</si>
  <si>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</si>
  <si>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</si>
  <si>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</si>
  <si>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</si>
  <si>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</si>
  <si>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</si>
  <si>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</si>
  <si>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</si>
  <si>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</si>
  <si>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</si>
  <si>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</si>
  <si>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</si>
  <si>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</si>
  <si>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</si>
  <si>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</si>
  <si>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</si>
  <si>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</si>
  <si>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</si>
  <si>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</si>
  <si>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</si>
  <si>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</si>
  <si>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</si>
  <si>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</si>
  <si>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</si>
  <si>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</si>
  <si>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</si>
  <si>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</si>
  <si>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</si>
  <si>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</si>
  <si>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</si>
  <si>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</si>
  <si>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</si>
  <si>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</si>
  <si>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</si>
  <si>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</si>
  <si>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</si>
  <si>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</si>
  <si>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</si>
  <si>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</si>
  <si>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</si>
  <si>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</si>
  <si>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</si>
  <si>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</si>
  <si>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</si>
  <si>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</si>
  <si>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</si>
  <si>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</si>
  <si>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</si>
  <si>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</si>
  <si>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</si>
  <si>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</si>
  <si>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</si>
  <si>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</si>
  <si>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</si>
  <si>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</si>
  <si>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</si>
  <si>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</si>
  <si>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</si>
  <si>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</si>
  <si>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</si>
  <si>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</si>
  <si>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</si>
  <si>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</si>
  <si>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</si>
  <si>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</si>
  <si>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</si>
  <si>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</si>
  <si>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</si>
  <si>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</si>
  <si>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</si>
  <si>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</si>
  <si>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</si>
  <si>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</si>
  <si>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</si>
  <si>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</si>
  <si>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</si>
  <si>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</si>
  <si>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</si>
  <si>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</si>
  <si>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</si>
  <si>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</si>
  <si>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</si>
  <si>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</si>
  <si>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</si>
  <si>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</si>
  <si>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</si>
  <si>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</si>
  <si>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</si>
  <si>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</si>
  <si>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</si>
  <si>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</si>
  <si>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</si>
  <si>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</si>
  <si>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</si>
  <si>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</si>
  <si>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</si>
  <si>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</si>
  <si>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</si>
  <si>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</si>
  <si>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</si>
  <si>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</si>
  <si>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</si>
  <si>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</si>
  <si>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</si>
  <si>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</si>
  <si>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</si>
  <si>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</si>
  <si>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</si>
  <si>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</si>
  <si>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</si>
  <si>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</si>
  <si>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</si>
  <si>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</si>
  <si>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</si>
  <si>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</si>
  <si>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</si>
  <si>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</si>
  <si>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</si>
  <si>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</si>
  <si>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</si>
  <si>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</si>
  <si>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</si>
  <si>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</si>
  <si>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</si>
  <si>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</si>
  <si>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</si>
  <si>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</si>
  <si>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</si>
  <si>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</si>
  <si>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</si>
  <si>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</si>
  <si>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</si>
  <si>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</si>
  <si>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</si>
  <si>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</si>
  <si>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</si>
  <si>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</si>
  <si>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</si>
  <si>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</si>
  <si>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</si>
  <si>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</si>
  <si>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</si>
  <si>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</si>
  <si>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</si>
  <si>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</si>
  <si>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</si>
  <si>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</si>
  <si>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</si>
  <si>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</si>
  <si>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</si>
  <si>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</si>
  <si>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</si>
  <si>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</si>
  <si>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</si>
  <si>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</si>
  <si>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</si>
  <si>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</si>
  <si>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</si>
  <si>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</si>
  <si>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</si>
  <si>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</si>
  <si>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</si>
  <si>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</si>
  <si>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</si>
  <si>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</si>
  <si>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</si>
  <si>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</si>
  <si>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</si>
  <si>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</si>
  <si>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</si>
  <si>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</si>
  <si>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</si>
  <si>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</si>
  <si>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</si>
  <si>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</si>
  <si>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</si>
  <si>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</si>
  <si>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</si>
  <si>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</si>
  <si>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</si>
  <si>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</si>
  <si>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</si>
  <si>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</si>
  <si>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</si>
  <si>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</si>
  <si>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</si>
  <si>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</si>
  <si>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</si>
  <si>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</si>
  <si>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</si>
  <si>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</si>
  <si>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</si>
  <si>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</si>
  <si>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</si>
  <si>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</si>
  <si>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</si>
  <si>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</si>
  <si>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</si>
  <si>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</si>
  <si>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</si>
  <si>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</si>
  <si>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</si>
  <si>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</si>
  <si>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</si>
  <si>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</si>
  <si>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</si>
  <si>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</si>
  <si>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</si>
  <si>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</si>
  <si>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</si>
  <si>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</si>
  <si>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</si>
  <si>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</si>
  <si>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</si>
  <si>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</si>
  <si>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</si>
  <si>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</si>
  <si>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</si>
  <si>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</si>
  <si>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</si>
  <si>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</si>
  <si>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</si>
  <si>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</si>
  <si>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</si>
  <si>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</si>
  <si>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</si>
  <si>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</si>
  <si>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</si>
  <si>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</si>
  <si>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</si>
  <si>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</si>
  <si>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</si>
  <si>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</si>
  <si>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</si>
  <si>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</si>
  <si>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</si>
  <si>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</si>
  <si>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</si>
  <si>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</si>
  <si>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</si>
  <si>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</si>
  <si>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</si>
  <si>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</si>
  <si>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</si>
  <si>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</si>
  <si>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</si>
  <si>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</si>
  <si>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</si>
  <si>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</si>
  <si>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</si>
  <si>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</si>
  <si>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</si>
  <si>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</si>
  <si>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</si>
  <si>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</si>
  <si>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</si>
  <si>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</si>
  <si>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</si>
  <si>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</si>
  <si>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</si>
  <si>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</si>
  <si>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</si>
  <si>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</si>
  <si>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</si>
  <si>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</si>
  <si>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</si>
  <si>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</si>
  <si>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</si>
  <si>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</si>
  <si>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</si>
  <si>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</si>
  <si>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</si>
  <si>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</si>
  <si>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</si>
  <si>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</si>
  <si>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</si>
  <si>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</si>
  <si>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</si>
  <si>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</si>
  <si>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</si>
  <si>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</si>
  <si>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</si>
  <si>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</si>
  <si>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</si>
  <si>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</si>
  <si>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</si>
  <si>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</si>
  <si>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</si>
  <si>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</si>
  <si>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</si>
  <si>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</si>
  <si>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</si>
  <si>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</si>
  <si>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</si>
  <si>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</si>
  <si>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</si>
  <si>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</si>
  <si>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</si>
  <si>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</si>
  <si>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</si>
  <si>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</si>
  <si>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</si>
  <si>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</si>
  <si>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</si>
  <si>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</si>
  <si>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</si>
  <si>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</si>
  <si>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</si>
  <si>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</si>
  <si>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</si>
  <si>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</si>
  <si>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</si>
  <si>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</si>
  <si>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</si>
  <si>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</si>
  <si>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</si>
  <si>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</si>
  <si>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</si>
  <si>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</si>
  <si>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</si>
  <si>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</si>
  <si>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</si>
  <si>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</si>
  <si>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</si>
  <si>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</si>
  <si>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</si>
  <si>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</si>
  <si>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</si>
  <si>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</si>
  <si>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</si>
  <si>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</si>
  <si>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</si>
  <si>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</si>
  <si>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</si>
  <si>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</si>
  <si>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</si>
  <si>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</si>
  <si>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</si>
  <si>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</si>
  <si>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</si>
  <si>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</si>
  <si>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</si>
  <si>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</si>
  <si>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</si>
  <si>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</si>
  <si>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</si>
  <si>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</si>
  <si>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</si>
  <si>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</si>
  <si>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</si>
  <si>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</si>
  <si>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</si>
  <si>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</si>
  <si>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</si>
  <si>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</si>
  <si>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</si>
  <si>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</si>
  <si>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</si>
  <si>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</si>
  <si>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</si>
  <si>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</si>
  <si>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</si>
  <si>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</si>
  <si>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</si>
  <si>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</si>
  <si>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</si>
  <si>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</si>
  <si>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</si>
  <si>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</si>
  <si>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</si>
  <si>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</si>
  <si>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</si>
  <si>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</si>
  <si>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</si>
  <si>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</si>
  <si>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</si>
  <si>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</si>
  <si>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</si>
  <si>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</si>
  <si>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</si>
  <si>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</si>
  <si>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</si>
  <si>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</si>
  <si>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</si>
  <si>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</si>
  <si>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</si>
  <si>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</si>
  <si>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</si>
  <si>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</si>
  <si>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</si>
  <si>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</si>
  <si>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</si>
  <si>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</si>
  <si>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</si>
  <si>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</si>
  <si>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</si>
  <si>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</si>
  <si>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</si>
  <si>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</si>
  <si>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</si>
  <si>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</si>
  <si>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</si>
  <si>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</si>
  <si>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</si>
  <si>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</si>
  <si>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</si>
  <si>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</si>
  <si>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</si>
  <si>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</si>
  <si>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</si>
  <si>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</si>
  <si>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</si>
  <si>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</si>
  <si>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</si>
  <si>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</si>
  <si>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</si>
  <si>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</si>
  <si>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</si>
  <si>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</si>
  <si>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</si>
  <si>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</si>
  <si>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</si>
  <si>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</si>
  <si>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</si>
  <si>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</si>
  <si>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</si>
  <si>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</si>
  <si>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</si>
  <si>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</si>
  <si>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</si>
  <si>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</si>
  <si>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</si>
  <si>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</si>
  <si>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</si>
  <si>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</si>
  <si>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</si>
  <si>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</si>
  <si>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</si>
  <si>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</si>
  <si>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</si>
  <si>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</si>
  <si>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</si>
  <si>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</si>
  <si>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</si>
  <si>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</si>
  <si>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</si>
  <si>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</si>
  <si>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</si>
  <si>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</si>
  <si>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</si>
  <si>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</si>
  <si>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</si>
  <si>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</si>
  <si>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</si>
  <si>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</si>
  <si>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</si>
  <si>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</si>
  <si>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</si>
  <si>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</si>
  <si>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</si>
  <si>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</si>
  <si>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</si>
  <si>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</si>
  <si>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</si>
  <si>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</si>
  <si>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</si>
  <si>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</si>
  <si>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</si>
  <si>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</si>
  <si>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</si>
  <si>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</si>
  <si>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</si>
  <si>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</si>
  <si>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</si>
  <si>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</si>
  <si>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</si>
  <si>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</si>
  <si>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</si>
  <si>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</si>
  <si>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</si>
  <si>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</si>
  <si>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</si>
  <si>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</si>
  <si>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</si>
  <si>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</si>
  <si>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</si>
  <si>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</si>
  <si>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</si>
  <si>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</si>
  <si>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</si>
  <si>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</si>
  <si>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</si>
  <si>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</si>
  <si>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</si>
  <si>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</si>
  <si>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</si>
  <si>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</si>
  <si>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</si>
  <si>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</si>
  <si>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</si>
  <si>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</si>
  <si>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</si>
  <si>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</si>
  <si>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</si>
  <si>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</si>
  <si>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</si>
  <si>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</si>
  <si>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</si>
  <si>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</si>
  <si>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</si>
  <si>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</si>
  <si>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</si>
  <si>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</si>
  <si>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</si>
  <si>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</si>
  <si>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</si>
  <si>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</si>
  <si>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</si>
  <si>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</si>
  <si>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</si>
  <si>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</si>
  <si>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</si>
  <si>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</si>
  <si>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</si>
  <si>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</si>
  <si>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</si>
  <si>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</si>
  <si>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</si>
  <si>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</si>
  <si>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</si>
  <si>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</si>
  <si>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</si>
  <si>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</si>
  <si>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</si>
  <si>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</si>
  <si>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</si>
  <si>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</si>
  <si>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</si>
  <si>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</si>
  <si>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</si>
  <si>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</si>
  <si>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</si>
  <si>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</si>
  <si>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</si>
  <si>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</si>
  <si>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</si>
  <si>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</si>
  <si>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</si>
  <si>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</si>
  <si>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</si>
  <si>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</si>
  <si>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</si>
  <si>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</si>
  <si>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</si>
  <si>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</si>
  <si>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</si>
  <si>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</si>
  <si>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</si>
  <si>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</si>
  <si>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</si>
  <si>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</si>
  <si>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</si>
  <si>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</si>
  <si>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</si>
  <si>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</si>
  <si>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</si>
  <si>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</si>
  <si>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</si>
  <si>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</si>
  <si>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</si>
  <si>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</si>
  <si>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</si>
  <si>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</si>
  <si>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</si>
  <si>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</si>
  <si>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</si>
  <si>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</si>
  <si>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</si>
  <si>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</si>
  <si>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</si>
  <si>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</si>
  <si>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</si>
  <si>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</si>
  <si>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</si>
  <si>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</si>
  <si>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</si>
  <si>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</si>
  <si>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</si>
  <si>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</si>
  <si>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</si>
  <si>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</si>
  <si>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</si>
  <si>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</si>
  <si>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</si>
  <si>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</si>
  <si>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</si>
  <si>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</si>
  <si>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</si>
  <si>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</si>
  <si>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</si>
  <si>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</si>
  <si>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</si>
  <si>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</si>
  <si>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</si>
  <si>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</si>
  <si>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</si>
  <si>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</si>
  <si>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</si>
  <si>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</si>
  <si>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</si>
  <si>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</si>
  <si>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</si>
  <si>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</si>
  <si>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</si>
  <si>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</si>
  <si>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</si>
  <si>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</si>
  <si>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</si>
  <si>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</si>
  <si>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</si>
  <si>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</si>
  <si>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</si>
  <si>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</si>
  <si>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</si>
  <si>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</si>
  <si>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</si>
  <si>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</si>
  <si>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</si>
  <si>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</si>
  <si>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</si>
  <si>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</si>
  <si>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</si>
  <si>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</si>
  <si>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</si>
  <si>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</si>
  <si>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</si>
  <si>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</si>
  <si>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</si>
  <si>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</si>
  <si>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</si>
  <si>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</si>
  <si>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</si>
  <si>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</si>
  <si>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</si>
  <si>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</si>
  <si>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</si>
  <si>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</si>
  <si>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</si>
  <si>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</si>
  <si>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</si>
  <si>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</si>
  <si>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</si>
  <si>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</si>
  <si>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</si>
  <si>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</si>
  <si>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</si>
  <si>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</si>
  <si>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</si>
  <si>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</si>
  <si>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</si>
  <si>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</si>
  <si>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</si>
  <si>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</si>
  <si>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</si>
  <si>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</si>
  <si>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</si>
  <si>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</si>
  <si>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</si>
  <si>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</si>
  <si>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</si>
  <si>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</si>
  <si>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</si>
  <si>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</si>
  <si>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</si>
  <si>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</si>
  <si>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</si>
  <si>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</si>
  <si>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</si>
  <si>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</si>
  <si>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</si>
  <si>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</si>
  <si>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</si>
  <si>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</si>
  <si>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</si>
  <si>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</si>
  <si>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</si>
  <si>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</si>
  <si>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</si>
  <si>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</si>
  <si>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</si>
  <si>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</si>
  <si>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</si>
  <si>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</si>
  <si>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</si>
  <si>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</si>
  <si>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</si>
  <si>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</si>
  <si>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</si>
  <si>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</si>
  <si>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</si>
  <si>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</si>
  <si>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</si>
  <si>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</si>
  <si>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</si>
  <si>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</si>
  <si>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</si>
  <si>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</si>
  <si>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</si>
  <si>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</si>
  <si>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</si>
  <si>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</si>
  <si>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</si>
  <si>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</si>
  <si>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</si>
  <si>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</si>
  <si>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</si>
  <si>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</si>
  <si>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</si>
  <si>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</si>
  <si>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</si>
  <si>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</si>
  <si>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</si>
  <si>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</si>
  <si>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</si>
  <si>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</si>
  <si>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</si>
  <si>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</si>
  <si>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</si>
  <si>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</si>
  <si>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</si>
  <si>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</si>
  <si>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</si>
  <si>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</si>
  <si>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</si>
  <si>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</si>
  <si>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</si>
  <si>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</si>
  <si>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</si>
  <si>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</si>
  <si>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</si>
  <si>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</si>
  <si>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</si>
  <si>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</si>
  <si>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</si>
  <si>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</si>
  <si>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</si>
  <si>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</si>
  <si>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</si>
  <si>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</si>
  <si>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</si>
  <si>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</si>
  <si>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</si>
  <si>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</si>
  <si>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</si>
  <si>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</si>
  <si>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</si>
  <si>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</si>
  <si>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</si>
  <si>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</si>
  <si>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</si>
  <si>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</si>
  <si>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</si>
  <si>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</si>
  <si>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</si>
  <si>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</si>
  <si>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</si>
  <si>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</si>
  <si>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</si>
  <si>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</si>
  <si>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</si>
  <si>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</si>
  <si>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</si>
  <si>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</si>
  <si>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</si>
  <si>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</si>
  <si>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</si>
  <si>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</si>
  <si>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</si>
  <si>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</si>
  <si>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</si>
  <si>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</si>
  <si>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</si>
  <si>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</si>
  <si>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</si>
  <si>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</si>
  <si>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</si>
  <si>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</si>
  <si>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</si>
  <si>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</si>
  <si>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</si>
  <si>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</si>
  <si>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</si>
  <si>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</si>
  <si>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</si>
  <si>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</si>
  <si>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</si>
  <si>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</si>
  <si>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</si>
  <si>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</si>
  <si>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</si>
  <si>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</si>
  <si>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</si>
  <si>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</si>
  <si>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</si>
  <si>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</si>
  <si>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</si>
  <si>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</si>
  <si>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</si>
  <si>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</si>
  <si>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</si>
  <si>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</si>
  <si>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</si>
  <si>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</si>
  <si>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</si>
  <si>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</si>
  <si>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</si>
  <si>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</si>
  <si>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</si>
  <si>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</si>
  <si>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</si>
  <si>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</si>
  <si>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</si>
  <si>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</si>
  <si>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</si>
  <si>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</si>
  <si>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</si>
  <si>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</si>
  <si>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</si>
  <si>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</si>
  <si>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</si>
  <si>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</si>
  <si>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</si>
  <si>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</si>
  <si>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</si>
  <si>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</si>
  <si>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</si>
  <si>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</si>
  <si>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</si>
  <si>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</si>
  <si>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</si>
  <si>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</si>
  <si>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</si>
  <si>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</si>
  <si>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</si>
  <si>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</si>
  <si>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</si>
  <si>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</si>
  <si>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</si>
  <si>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</si>
  <si>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</si>
  <si>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</si>
  <si>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</si>
  <si>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</si>
  <si>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</si>
  <si>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</si>
  <si>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</si>
  <si>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</si>
  <si>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</si>
  <si>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</si>
  <si>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</si>
  <si>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</si>
  <si>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</si>
  <si>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</si>
  <si>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</si>
  <si>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</si>
  <si>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</si>
  <si>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</si>
  <si>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</si>
  <si>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</si>
  <si>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</si>
  <si>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</si>
  <si>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</si>
  <si>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</si>
  <si>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</si>
  <si>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</si>
  <si>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</si>
  <si>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</si>
  <si>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</si>
  <si>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</si>
  <si>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</si>
  <si>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</si>
  <si>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</si>
  <si>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</si>
  <si>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</si>
  <si>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</si>
  <si>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</si>
  <si>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</si>
  <si>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</si>
  <si>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</si>
  <si>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</si>
  <si>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</si>
  <si>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</si>
  <si>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</si>
  <si>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</si>
  <si>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</si>
  <si>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</si>
  <si>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</si>
  <si>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</si>
  <si>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</si>
  <si>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</si>
  <si>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</si>
  <si>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</si>
  <si>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</si>
  <si>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</si>
  <si>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</si>
  <si>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</si>
  <si>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</si>
  <si>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</si>
  <si>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</si>
  <si>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</si>
  <si>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</si>
  <si>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</si>
  <si>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</si>
  <si>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</si>
  <si>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</si>
  <si>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</si>
  <si>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</si>
  <si>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</si>
  <si>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</si>
  <si>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</si>
  <si>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</si>
  <si>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</si>
  <si>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</si>
  <si>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</si>
  <si>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</si>
  <si>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</si>
  <si>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</si>
  <si>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</si>
  <si>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</si>
  <si>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</si>
  <si>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</si>
  <si>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</si>
  <si>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</si>
  <si>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</si>
  <si>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</si>
  <si>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</si>
  <si>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</si>
  <si>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</si>
  <si>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</si>
  <si>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</si>
  <si>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</si>
  <si>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</si>
  <si>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</si>
  <si>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</si>
  <si>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</si>
  <si>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</si>
  <si>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</si>
  <si>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</si>
  <si>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</si>
  <si>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</si>
  <si>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</si>
  <si>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</si>
  <si>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</si>
  <si>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</si>
  <si>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</si>
  <si>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</si>
  <si>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</si>
  <si>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</si>
  <si>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</si>
  <si>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</si>
  <si>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</si>
  <si>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</si>
  <si>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</si>
  <si>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</si>
  <si>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</si>
  <si>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</si>
  <si>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</si>
  <si>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</si>
  <si>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</si>
  <si>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</si>
  <si>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</si>
  <si>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</si>
  <si>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</si>
  <si>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</si>
  <si>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</si>
  <si>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</si>
  <si>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</si>
  <si>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</si>
  <si>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</si>
  <si>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</si>
  <si>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</si>
  <si>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</si>
  <si>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</si>
  <si>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</si>
  <si>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</si>
  <si>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</si>
  <si>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</si>
  <si>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</si>
  <si>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</si>
  <si>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</si>
  <si>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</si>
  <si>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</si>
  <si>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</si>
  <si>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</si>
  <si>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</si>
  <si>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</si>
  <si>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</si>
  <si>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</si>
  <si>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</si>
  <si>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</si>
  <si>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</si>
  <si>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</si>
  <si>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</si>
  <si>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</si>
  <si>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</si>
  <si>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</si>
  <si>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</si>
  <si>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</si>
  <si>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</si>
  <si>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</si>
  <si>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</si>
  <si>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</si>
  <si>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</si>
  <si>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</si>
  <si>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</si>
  <si>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</si>
  <si>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</si>
  <si>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</si>
  <si>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</si>
  <si>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</si>
  <si>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</si>
  <si>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</si>
  <si>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</si>
  <si>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</si>
  <si>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</si>
  <si>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</si>
  <si>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</si>
  <si>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</si>
  <si>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</si>
  <si>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</si>
  <si>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</si>
  <si>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</si>
  <si>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</si>
  <si>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</si>
  <si>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</si>
  <si>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</si>
  <si>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</si>
  <si>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</si>
  <si>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</si>
  <si>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</si>
  <si>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</si>
  <si>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</si>
  <si>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</si>
  <si>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</si>
  <si>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</si>
  <si>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</si>
  <si>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</si>
  <si>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</si>
  <si>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</si>
  <si>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</si>
  <si>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</si>
  <si>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</si>
  <si>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</si>
  <si>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</si>
  <si>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</si>
  <si>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</si>
  <si>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</si>
  <si>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</si>
  <si>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</si>
  <si>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</si>
  <si>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</si>
  <si>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</si>
  <si>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</si>
  <si>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</si>
  <si>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</si>
  <si>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</si>
  <si>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</si>
  <si>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</si>
  <si>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</si>
  <si>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</si>
  <si>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</si>
  <si>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</si>
  <si>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</si>
  <si>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</si>
  <si>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</si>
  <si>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</si>
  <si>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</si>
  <si>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</si>
  <si>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</si>
  <si>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</si>
  <si>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</si>
  <si>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</si>
  <si>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</si>
  <si>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</si>
  <si>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</si>
  <si>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</si>
  <si>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</si>
  <si>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</si>
  <si>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</si>
  <si>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</si>
  <si>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</si>
  <si>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</si>
  <si>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</si>
  <si>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</si>
  <si>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</si>
  <si>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</si>
  <si>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</si>
  <si>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</si>
  <si>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</si>
  <si>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</si>
  <si>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</si>
  <si>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</si>
  <si>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</si>
  <si>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</si>
  <si>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</si>
  <si>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</si>
  <si>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</si>
  <si>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</si>
  <si>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</si>
  <si>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</si>
  <si>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</si>
  <si>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</si>
  <si>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</si>
  <si>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</si>
  <si>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</si>
  <si>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</si>
  <si>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</si>
  <si>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</si>
  <si>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</si>
  <si>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</si>
  <si>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</si>
  <si>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</si>
  <si>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</si>
  <si>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</si>
  <si>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</si>
  <si>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</si>
  <si>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</si>
  <si>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</si>
  <si>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</si>
  <si>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</si>
  <si>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</si>
  <si>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</si>
  <si>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</si>
  <si>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</si>
  <si>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</si>
  <si>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</si>
  <si>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</si>
  <si>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</si>
  <si>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</si>
  <si>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</si>
  <si>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</si>
  <si>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</si>
  <si>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</si>
  <si>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</si>
  <si>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</si>
  <si>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</si>
  <si>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</si>
  <si>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</si>
  <si>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</si>
  <si>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</si>
  <si>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</si>
  <si>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</si>
  <si>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</si>
  <si>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</si>
  <si>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</si>
  <si>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</si>
  <si>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</si>
  <si>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</si>
  <si>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</si>
  <si>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</si>
  <si>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</si>
  <si>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</si>
  <si>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</si>
  <si>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</si>
  <si>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</si>
  <si>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</si>
  <si>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</si>
  <si>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</si>
  <si>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</si>
  <si>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</si>
  <si>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</si>
  <si>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</si>
  <si>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</si>
  <si>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</si>
  <si>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</si>
  <si>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</si>
  <si>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</si>
  <si>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</si>
  <si>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</si>
  <si>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</si>
  <si>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</si>
  <si>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</si>
  <si>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</si>
  <si>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</si>
  <si>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</si>
  <si>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</si>
  <si>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</si>
  <si>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</si>
  <si>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</si>
  <si>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</si>
  <si>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</si>
  <si>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</si>
  <si>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</si>
  <si>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</si>
  <si>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</si>
  <si>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</si>
  <si>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</si>
  <si>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</si>
  <si>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</si>
  <si>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</si>
  <si>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</si>
  <si>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</si>
  <si>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</si>
  <si>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</si>
  <si>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</si>
  <si>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</si>
  <si>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</si>
  <si>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</si>
  <si>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</si>
  <si>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</si>
  <si>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</si>
  <si>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</si>
  <si>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</si>
  <si>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</si>
  <si>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</si>
  <si>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</si>
  <si>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</si>
  <si>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</si>
  <si>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</si>
  <si>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</si>
  <si>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</si>
  <si>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</si>
  <si>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</si>
  <si>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</si>
  <si>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</si>
  <si>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</si>
  <si>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</si>
  <si>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</si>
  <si>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</si>
  <si>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</si>
  <si>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</si>
  <si>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</si>
  <si>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</si>
  <si>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</si>
  <si>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</si>
  <si>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</si>
  <si>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</si>
  <si>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</si>
  <si>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</si>
  <si>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</si>
  <si>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</si>
  <si>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</si>
  <si>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</si>
  <si>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</si>
  <si>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</si>
  <si>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</si>
  <si>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</si>
  <si>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</si>
  <si>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</si>
  <si>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</si>
  <si>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</si>
  <si>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</si>
  <si>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</si>
  <si>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</si>
  <si>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</si>
  <si>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</si>
  <si>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</si>
  <si>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</si>
  <si>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</si>
  <si>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</si>
  <si>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</si>
  <si>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</si>
  <si>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</si>
  <si>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</si>
  <si>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</si>
  <si>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</si>
  <si>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</si>
  <si>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</si>
  <si>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</si>
  <si>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</si>
  <si>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</si>
  <si>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</si>
  <si>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</si>
  <si>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</si>
  <si>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</si>
  <si>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</si>
  <si>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</si>
  <si>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</si>
  <si>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</si>
  <si>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</si>
  <si>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</si>
  <si>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</si>
  <si>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</si>
  <si>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</si>
  <si>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</si>
  <si>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</si>
  <si>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</si>
  <si>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</si>
  <si>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</si>
  <si>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</si>
  <si>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</si>
  <si>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</si>
  <si>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</si>
  <si>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</si>
  <si>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</si>
  <si>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</si>
  <si>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</si>
  <si>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</si>
  <si>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</si>
  <si>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</si>
  <si>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</si>
  <si>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</si>
  <si>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</si>
  <si>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</si>
  <si>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</si>
  <si>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</si>
  <si>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</si>
  <si>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</si>
  <si>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</si>
  <si>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</si>
  <si>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</si>
  <si>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</si>
  <si>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</si>
  <si>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</si>
  <si>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</si>
  <si>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</si>
  <si>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</si>
  <si>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</si>
  <si>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</si>
  <si>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</si>
  <si>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</si>
  <si>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</si>
  <si>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</si>
  <si>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</si>
  <si>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</si>
  <si>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</si>
  <si>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</si>
  <si>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</si>
  <si>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</si>
  <si>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</si>
  <si>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</si>
  <si>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</si>
  <si>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</si>
  <si>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</si>
  <si>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</si>
  <si>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</si>
  <si>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</si>
  <si>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</si>
  <si>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</si>
  <si>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</si>
  <si>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</si>
  <si>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</si>
  <si>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</si>
  <si>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</si>
  <si>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</si>
  <si>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</si>
  <si>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</si>
  <si>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</si>
  <si>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</si>
  <si>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</si>
  <si>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</si>
  <si>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</si>
  <si>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</si>
  <si>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</si>
  <si>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</si>
  <si>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</si>
  <si>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</si>
  <si>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</si>
  <si>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</si>
  <si>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</si>
  <si>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</si>
  <si>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</si>
  <si>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</si>
  <si>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</si>
  <si>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</si>
  <si>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</si>
  <si>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</si>
  <si>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</si>
  <si>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</si>
  <si>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</si>
  <si>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</si>
  <si>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</si>
  <si>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</si>
  <si>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</si>
  <si>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</si>
  <si>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</si>
  <si>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</si>
  <si>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</si>
  <si>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</si>
  <si>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</si>
  <si>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</si>
  <si>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</si>
  <si>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</si>
  <si>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</si>
  <si>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</si>
  <si>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</si>
  <si>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</si>
  <si>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</si>
  <si>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</si>
  <si>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</si>
  <si>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</si>
  <si>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</si>
  <si>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</si>
  <si>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</si>
  <si>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</si>
  <si>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</si>
  <si>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</si>
  <si>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</si>
  <si>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</si>
  <si>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</si>
  <si>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</si>
  <si>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</si>
  <si>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</si>
  <si>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</si>
  <si>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</si>
  <si>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</si>
  <si>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</si>
  <si>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</si>
  <si>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</si>
  <si>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</si>
  <si>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</si>
  <si>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</si>
  <si>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</si>
  <si>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</si>
  <si>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</si>
  <si>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</si>
  <si>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</si>
  <si>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</si>
  <si>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</si>
  <si>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</si>
  <si>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</si>
  <si>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</si>
  <si>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</si>
  <si>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</si>
  <si>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</si>
  <si>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</si>
  <si>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</si>
  <si>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</si>
  <si>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</si>
  <si>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</si>
  <si>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</si>
  <si>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</si>
  <si>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</si>
  <si>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</si>
  <si>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</si>
  <si>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</si>
  <si>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</si>
  <si>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</si>
  <si>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</si>
  <si>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</si>
  <si>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</si>
  <si>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</si>
  <si>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</si>
  <si>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</si>
  <si>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</si>
  <si>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</si>
  <si>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</si>
  <si>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</si>
  <si>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</si>
  <si>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</si>
  <si>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</si>
  <si>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</si>
  <si>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</si>
  <si>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</si>
  <si>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</si>
  <si>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</si>
  <si>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</si>
  <si>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</si>
  <si>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</si>
  <si>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</si>
  <si>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</si>
  <si>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</si>
  <si>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</si>
  <si>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</si>
  <si>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</si>
  <si>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</si>
  <si>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</si>
  <si>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</si>
  <si>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</si>
  <si>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</si>
  <si>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</si>
  <si>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</si>
  <si>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</si>
  <si>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</si>
  <si>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</si>
  <si>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</si>
  <si>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</si>
  <si>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</si>
  <si>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</si>
  <si>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</si>
  <si>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</si>
  <si>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</si>
  <si>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</si>
  <si>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</si>
  <si>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</si>
  <si>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</si>
  <si>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</si>
  <si>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</si>
  <si>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</si>
  <si>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</si>
  <si>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</si>
  <si>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</si>
  <si>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</si>
  <si>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</si>
  <si>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</si>
  <si>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</si>
  <si>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</si>
  <si>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</si>
  <si>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</si>
  <si>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</si>
  <si>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</si>
  <si>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</si>
  <si>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</si>
  <si>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</si>
  <si>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</si>
  <si>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</si>
  <si>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</si>
  <si>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</si>
  <si>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</si>
  <si>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</si>
  <si>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</si>
  <si>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</si>
  <si>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</si>
  <si>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</si>
  <si>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</si>
  <si>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</si>
  <si>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</si>
  <si>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</si>
  <si>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</si>
  <si>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</si>
  <si>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</si>
  <si>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</si>
  <si>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</si>
  <si>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</si>
  <si>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</si>
  <si>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</si>
  <si>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</si>
  <si>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</si>
  <si>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</si>
  <si>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</si>
  <si>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</si>
  <si>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</si>
  <si>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</si>
  <si>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</si>
  <si>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</si>
  <si>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</si>
  <si>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</si>
  <si>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</si>
  <si>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</si>
  <si>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</si>
  <si>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</si>
  <si>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</si>
  <si>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</si>
  <si>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</si>
  <si>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</si>
  <si>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</si>
  <si>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</si>
  <si>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</si>
  <si>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</si>
  <si>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</si>
  <si>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</si>
  <si>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</si>
  <si>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</si>
  <si>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</si>
  <si>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</si>
  <si>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</si>
  <si>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</si>
  <si>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</si>
  <si>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</si>
  <si>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</si>
  <si>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</si>
  <si>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</si>
  <si>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</si>
  <si>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</si>
  <si>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</si>
  <si>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</si>
  <si>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</si>
  <si>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</si>
  <si>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</si>
  <si>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</si>
  <si>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</si>
  <si>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</si>
  <si>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</si>
  <si>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</si>
  <si>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</si>
  <si>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</si>
  <si>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</si>
  <si>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</si>
  <si>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</si>
  <si>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</si>
  <si>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</si>
  <si>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</si>
  <si>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</si>
  <si>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</si>
  <si>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</si>
  <si>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</si>
  <si>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</si>
  <si>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</si>
  <si>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</si>
  <si>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</si>
  <si>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</si>
  <si>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</si>
  <si>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</si>
  <si>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</si>
  <si>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</si>
  <si>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</si>
  <si>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</si>
  <si>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</si>
  <si>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</si>
  <si>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</si>
  <si>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</si>
  <si>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</si>
  <si>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</si>
  <si>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</si>
  <si>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</si>
  <si>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</si>
  <si>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</si>
  <si>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</si>
  <si>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</si>
  <si>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</si>
  <si>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</si>
  <si>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</si>
  <si>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</si>
  <si>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</si>
  <si>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</si>
  <si>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</si>
  <si>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</si>
  <si>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</si>
  <si>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</si>
  <si>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</si>
  <si>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</si>
  <si>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</si>
  <si>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</si>
  <si>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</si>
  <si>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</si>
  <si>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</si>
  <si>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</si>
  <si>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</si>
  <si>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</si>
  <si>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</si>
  <si>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</si>
  <si>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</si>
  <si>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</si>
  <si>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</si>
  <si>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</si>
  <si>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</si>
  <si>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</si>
  <si>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</si>
  <si>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</si>
  <si>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</si>
  <si>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</si>
  <si>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</si>
  <si>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</si>
  <si>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</si>
  <si>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</si>
  <si>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</si>
  <si>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</si>
  <si>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</si>
  <si>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</si>
  <si>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</si>
  <si>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</si>
  <si>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</si>
  <si>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</si>
  <si>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</si>
  <si>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</si>
  <si>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</si>
  <si>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</si>
  <si>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</si>
  <si>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</si>
  <si>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</si>
  <si>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</si>
  <si>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</si>
  <si>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</si>
  <si>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</si>
  <si>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</si>
  <si>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</si>
  <si>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</si>
  <si>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</si>
  <si>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</si>
  <si>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</si>
  <si>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</si>
  <si>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</si>
  <si>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</si>
  <si>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</si>
  <si>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</si>
  <si>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</si>
  <si>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</si>
  <si>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</si>
  <si>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</si>
  <si>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</si>
  <si>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</si>
  <si>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</si>
  <si>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</si>
  <si>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</si>
  <si>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</si>
  <si>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</si>
  <si>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</si>
  <si>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</si>
  <si>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</si>
  <si>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</si>
  <si>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</si>
  <si>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</si>
  <si>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</si>
  <si>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</si>
  <si>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</si>
  <si>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</si>
  <si>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</si>
  <si>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</si>
  <si>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</si>
  <si>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</si>
  <si>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</si>
  <si>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</si>
  <si>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</si>
  <si>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</si>
  <si>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</si>
  <si>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</si>
  <si>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</si>
  <si>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</si>
  <si>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</si>
  <si>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</si>
  <si>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</si>
  <si>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</si>
  <si>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</si>
  <si>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</si>
  <si>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</si>
  <si>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</si>
  <si>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</si>
  <si>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</si>
  <si>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</si>
  <si>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</si>
  <si>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</si>
  <si>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</si>
  <si>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</si>
  <si>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</si>
  <si>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</si>
  <si>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</si>
  <si>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</si>
  <si>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</si>
  <si>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</si>
  <si>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</si>
  <si>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</si>
  <si>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</si>
  <si>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</si>
  <si>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</si>
  <si>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</si>
  <si>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</si>
  <si>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</si>
  <si>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</si>
  <si>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</si>
  <si>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</si>
  <si>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</si>
  <si>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</si>
  <si>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</si>
  <si>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</si>
  <si>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</si>
  <si>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</si>
  <si>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</si>
  <si>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</si>
  <si>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</si>
  <si>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</si>
  <si>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</si>
  <si>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</si>
  <si>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</si>
  <si>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</si>
  <si>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</si>
  <si>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</si>
  <si>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</si>
  <si>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</si>
  <si>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</si>
  <si>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</si>
  <si>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</si>
  <si>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</si>
  <si>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</si>
  <si>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</si>
  <si>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</si>
  <si>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</si>
  <si>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</si>
  <si>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</si>
  <si>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</si>
  <si>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</si>
  <si>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</si>
  <si>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</si>
  <si>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</si>
  <si>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</si>
  <si>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</si>
  <si>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</si>
  <si>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</si>
  <si>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</si>
  <si>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</si>
  <si>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</si>
  <si>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</si>
  <si>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</si>
  <si>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</si>
  <si>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</si>
  <si>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</si>
  <si>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</si>
  <si>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</si>
  <si>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</si>
  <si>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</si>
  <si>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</si>
  <si>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</si>
  <si>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</si>
  <si>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</si>
  <si>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</si>
  <si>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</si>
  <si>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</si>
  <si>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</si>
  <si>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</si>
  <si>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</si>
  <si>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</si>
  <si>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</si>
  <si>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</si>
  <si>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</si>
  <si>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</si>
  <si>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</si>
  <si>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</si>
  <si>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</si>
  <si>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</si>
  <si>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</si>
  <si>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</si>
  <si>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</si>
  <si>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</si>
  <si>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</si>
  <si>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</si>
  <si>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</si>
  <si>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</si>
  <si>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</si>
  <si>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</si>
  <si>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</si>
  <si>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</si>
  <si>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</si>
  <si>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</si>
  <si>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</si>
  <si>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</si>
  <si>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</si>
  <si>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</si>
  <si>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</si>
  <si>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</si>
  <si>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</si>
  <si>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</si>
  <si>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</si>
  <si>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</si>
  <si>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</si>
  <si>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</si>
  <si>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</si>
  <si>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</si>
  <si>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</si>
  <si>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</si>
  <si>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</si>
  <si>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</si>
  <si>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</si>
  <si>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</si>
  <si>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</si>
  <si>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</si>
  <si>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</si>
  <si>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</si>
  <si>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</si>
  <si>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</si>
  <si>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</si>
  <si>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</si>
  <si>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</si>
  <si>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</si>
  <si>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</si>
  <si>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</si>
  <si>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</si>
  <si>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</si>
  <si>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</si>
  <si>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</si>
  <si>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</si>
  <si>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</si>
  <si>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</si>
  <si>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</si>
  <si>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</si>
  <si>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</si>
  <si>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</si>
  <si>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</si>
  <si>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</si>
  <si>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</si>
  <si>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</si>
  <si>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</si>
  <si>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</si>
  <si>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</si>
  <si>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</si>
  <si>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</si>
  <si>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</si>
  <si>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</si>
  <si>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</si>
  <si>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</si>
  <si>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</si>
  <si>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</si>
  <si>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</si>
  <si>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</si>
  <si>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</si>
  <si>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</si>
  <si>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</si>
  <si>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</si>
  <si>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</si>
  <si>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</si>
  <si>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</si>
  <si>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</si>
  <si>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</si>
  <si>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</si>
  <si>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</si>
  <si>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</si>
  <si>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</si>
  <si>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</si>
  <si>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</si>
  <si>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</si>
  <si>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</si>
  <si>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</si>
  <si>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</si>
  <si>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</si>
  <si>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</si>
  <si>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</si>
  <si>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</si>
  <si>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</si>
  <si>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</si>
  <si>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</si>
  <si>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</si>
  <si>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</si>
  <si>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</si>
  <si>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</si>
  <si>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</si>
  <si>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</si>
  <si>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</si>
  <si>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</si>
  <si>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</si>
  <si>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</si>
  <si>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</si>
  <si>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</si>
  <si>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</si>
  <si>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</si>
  <si>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</si>
  <si>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</si>
  <si>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</si>
  <si>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</si>
  <si>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</si>
  <si>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</si>
  <si>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</si>
  <si>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</si>
  <si>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</si>
  <si>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</si>
  <si>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</si>
  <si>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</si>
  <si>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</si>
  <si>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</si>
  <si>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</si>
  <si>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</si>
  <si>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</si>
  <si>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</si>
  <si>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</si>
  <si>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</si>
  <si>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</si>
  <si>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</si>
  <si>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</si>
  <si>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</si>
  <si>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</si>
  <si>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</si>
  <si>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</si>
  <si>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</si>
  <si>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</si>
  <si>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</si>
  <si>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</si>
  <si>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</si>
  <si>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</si>
  <si>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</si>
  <si>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</si>
  <si>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</si>
  <si>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</si>
  <si>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</si>
  <si>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</si>
  <si>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</si>
  <si>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</si>
  <si>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</si>
  <si>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</si>
  <si>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</si>
  <si>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</si>
  <si>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</si>
  <si>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</si>
  <si>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</si>
  <si>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</si>
  <si>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</si>
  <si>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</si>
  <si>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</si>
  <si>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</si>
  <si>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</si>
  <si>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</si>
  <si>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</si>
  <si>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</si>
  <si>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</si>
  <si>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</si>
  <si>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</si>
  <si>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</si>
  <si>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</si>
  <si>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</si>
  <si>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</si>
  <si>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</si>
  <si>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</si>
  <si>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</si>
  <si>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</si>
  <si>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</si>
  <si>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</si>
  <si>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</si>
  <si>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</si>
  <si>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</si>
  <si>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</si>
  <si>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</si>
  <si>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</si>
  <si>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</si>
  <si>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</si>
  <si>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</si>
  <si>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</si>
  <si>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</si>
  <si>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</si>
  <si>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</si>
  <si>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</si>
  <si>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</si>
  <si>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</si>
  <si>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</si>
  <si>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</si>
  <si>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</si>
  <si>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</si>
  <si>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</si>
  <si>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</si>
  <si>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</si>
  <si>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</si>
  <si>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</si>
  <si>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</si>
  <si>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</si>
  <si>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</si>
  <si>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</si>
  <si>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</si>
  <si>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</si>
  <si>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</si>
  <si>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</si>
  <si>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</si>
  <si>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</si>
  <si>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</si>
  <si>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</si>
  <si>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</si>
  <si>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</si>
  <si>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</si>
  <si>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</si>
  <si>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</si>
  <si>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</si>
  <si>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</si>
  <si>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</si>
  <si>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</si>
  <si>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</si>
  <si>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</si>
  <si>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</si>
  <si>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</si>
  <si>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</si>
  <si>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</si>
  <si>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</si>
  <si>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</si>
  <si>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</si>
  <si>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</si>
  <si>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</si>
  <si>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</si>
  <si>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</si>
  <si>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</si>
  <si>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</si>
  <si>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</si>
  <si>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</si>
  <si>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</si>
  <si>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</si>
  <si>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</si>
  <si>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</si>
  <si>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</si>
  <si>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</si>
  <si>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</si>
  <si>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</si>
  <si>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</si>
  <si>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</si>
  <si>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</si>
  <si>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</si>
  <si>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</si>
  <si>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</si>
  <si>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</si>
  <si>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</si>
  <si>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</si>
  <si>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</si>
  <si>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</si>
  <si>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</si>
  <si>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</si>
  <si>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</si>
  <si>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</si>
  <si>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</si>
  <si>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</si>
  <si>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</si>
  <si>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</si>
  <si>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</si>
  <si>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</si>
  <si>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</si>
  <si>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</si>
  <si>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</si>
  <si>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</si>
  <si>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</si>
  <si>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</si>
  <si>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</si>
  <si>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</si>
  <si>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</si>
  <si>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</si>
  <si>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</si>
  <si>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</si>
  <si>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</si>
  <si>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</si>
  <si>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</si>
  <si>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</si>
  <si>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</si>
  <si>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</si>
  <si>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</si>
  <si>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</si>
  <si>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</si>
  <si>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</si>
  <si>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</si>
  <si>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</si>
  <si>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</si>
  <si>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</si>
  <si>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</si>
  <si>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</si>
  <si>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</si>
  <si>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</si>
  <si>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</si>
  <si>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</si>
  <si>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</si>
  <si>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</si>
  <si>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</si>
  <si>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</si>
  <si>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</si>
  <si>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</si>
  <si>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</si>
  <si>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</si>
  <si>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</si>
  <si>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</si>
  <si>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</si>
  <si>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</si>
  <si>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</si>
  <si>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</si>
  <si>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</si>
  <si>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</si>
  <si>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</si>
  <si>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</si>
  <si>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</si>
  <si>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</si>
  <si>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</si>
  <si>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</si>
  <si>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</si>
  <si>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</si>
  <si>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</si>
  <si>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</si>
  <si>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</si>
  <si>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</si>
  <si>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</si>
  <si>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</si>
  <si>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</si>
  <si>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</si>
  <si>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</si>
  <si>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</si>
  <si>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</si>
  <si>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</si>
  <si>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</si>
  <si>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</si>
  <si>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</si>
  <si>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</si>
  <si>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</si>
  <si>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</si>
  <si>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</si>
  <si>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</si>
  <si>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</si>
  <si>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</si>
  <si>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</si>
  <si>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</si>
  <si>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</si>
  <si>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</si>
  <si>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</si>
  <si>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</si>
  <si>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</si>
  <si>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</si>
  <si>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</si>
  <si>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</si>
  <si>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</si>
  <si>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</si>
  <si>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</si>
  <si>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</si>
  <si>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</si>
  <si>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</si>
  <si>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</si>
  <si>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</si>
  <si>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</si>
  <si>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</si>
  <si>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</si>
  <si>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</si>
  <si>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</si>
  <si>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</si>
  <si>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</si>
  <si>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</si>
  <si>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</si>
  <si>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</si>
  <si>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</si>
  <si>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</si>
  <si>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</si>
  <si>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</si>
  <si>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</si>
  <si>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</si>
  <si>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</si>
  <si>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</si>
  <si>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</si>
  <si>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</si>
  <si>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</si>
  <si>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</si>
  <si>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</si>
  <si>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</si>
  <si>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</si>
  <si>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</si>
  <si>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</si>
  <si>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</si>
  <si>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</si>
  <si>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</si>
  <si>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</si>
  <si>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</si>
  <si>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</si>
  <si>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</si>
  <si>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</si>
  <si>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</si>
  <si>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</si>
  <si>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</si>
  <si>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</si>
  <si>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</si>
  <si>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</si>
  <si>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</si>
  <si>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</si>
  <si>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</si>
  <si>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</si>
  <si>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</si>
  <si>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</si>
  <si>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</si>
  <si>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</si>
  <si>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</si>
  <si>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</si>
  <si>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</si>
  <si>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</si>
  <si>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</si>
  <si>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</si>
  <si>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</si>
  <si>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</si>
  <si>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</si>
  <si>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</si>
  <si>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</si>
  <si>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</si>
  <si>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</si>
  <si>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</si>
  <si>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</si>
  <si>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</si>
  <si>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</si>
  <si>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</si>
  <si>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</si>
  <si>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</si>
  <si>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</si>
  <si>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</si>
  <si>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</si>
  <si>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</si>
  <si>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</si>
  <si>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</si>
  <si>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</si>
  <si>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</si>
  <si>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</si>
  <si>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</si>
  <si>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</si>
  <si>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</si>
  <si>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</si>
  <si>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</si>
  <si>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</si>
  <si>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</si>
  <si>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</si>
  <si>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</si>
  <si>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</si>
  <si>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</si>
  <si>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</si>
  <si>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</si>
  <si>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</si>
  <si>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</si>
  <si>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</si>
  <si>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</si>
  <si>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</si>
  <si>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</si>
  <si>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</si>
  <si>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</si>
  <si>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</si>
  <si>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</si>
  <si>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</si>
  <si>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</si>
  <si>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</si>
  <si>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</si>
  <si>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</si>
  <si>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</si>
  <si>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</si>
  <si>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</si>
  <si>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</si>
  <si>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</si>
  <si>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</si>
  <si>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</si>
  <si>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</si>
  <si>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</si>
  <si>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</si>
  <si>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</si>
  <si>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</si>
  <si>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</si>
  <si>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</si>
  <si>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</si>
  <si>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</si>
  <si>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</si>
  <si>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</si>
  <si>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</si>
  <si>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</si>
  <si>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</si>
  <si>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</si>
  <si>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</si>
  <si>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</si>
  <si>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</si>
  <si>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</si>
  <si>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</si>
  <si>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</si>
  <si>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</si>
  <si>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</si>
  <si>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</si>
  <si>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</si>
  <si>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</si>
  <si>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</si>
  <si>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</si>
  <si>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</si>
  <si>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</si>
  <si>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</si>
  <si>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</si>
  <si>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</si>
  <si>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</si>
  <si>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</si>
  <si>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</si>
  <si>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</si>
  <si>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</si>
  <si>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</si>
  <si>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</si>
  <si>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</si>
  <si>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</si>
  <si>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</si>
  <si>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</si>
  <si>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</si>
  <si>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</si>
  <si>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</si>
  <si>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</si>
  <si>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</si>
  <si>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</si>
  <si>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</si>
  <si>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</si>
  <si>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</si>
  <si>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</si>
  <si>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</si>
  <si>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</si>
  <si>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</si>
  <si>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</si>
  <si>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</si>
  <si>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</si>
  <si>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</si>
  <si>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</si>
  <si>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</si>
  <si>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</si>
  <si>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</si>
  <si>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</si>
  <si>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</si>
  <si>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</si>
  <si>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</si>
  <si>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</si>
  <si>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</si>
  <si>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</si>
  <si>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</si>
  <si>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</si>
  <si>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</si>
  <si>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</si>
  <si>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</si>
  <si>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</si>
  <si>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</si>
  <si>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</si>
  <si>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</si>
  <si>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</si>
  <si>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</si>
  <si>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</si>
  <si>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</si>
  <si>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</si>
  <si>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</si>
  <si>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</si>
  <si>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</si>
  <si>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</si>
  <si>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</si>
  <si>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</si>
  <si>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</si>
  <si>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</si>
  <si>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</si>
  <si>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</si>
  <si>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</si>
  <si>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</si>
  <si>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</si>
  <si>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</si>
  <si>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</si>
  <si>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</si>
  <si>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</si>
  <si>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</si>
  <si>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</si>
  <si>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</si>
  <si>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</si>
  <si>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</si>
  <si>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</si>
  <si>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</si>
  <si>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</si>
  <si>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</si>
  <si>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</si>
  <si>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</si>
  <si>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</si>
  <si>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</si>
  <si>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</si>
  <si>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</si>
  <si>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</si>
  <si>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</si>
  <si>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</si>
  <si>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</si>
  <si>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</si>
  <si>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</si>
  <si>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</si>
  <si>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</si>
  <si>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</si>
  <si>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</si>
  <si>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</si>
  <si>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</si>
  <si>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</si>
  <si>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</si>
  <si>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</si>
  <si>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</si>
  <si>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</si>
  <si>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</si>
  <si>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</si>
  <si>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</si>
  <si>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</si>
  <si>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</si>
  <si>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</si>
  <si>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</si>
  <si>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</si>
  <si>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</si>
  <si>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</si>
  <si>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</si>
  <si>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</si>
  <si>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</si>
  <si>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</si>
  <si>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</si>
  <si>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</si>
  <si>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</si>
  <si>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</si>
  <si>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</si>
  <si>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</si>
  <si>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</si>
  <si>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</si>
  <si>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</si>
  <si>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</si>
  <si>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</si>
  <si>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</si>
  <si>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</si>
  <si>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</si>
  <si>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</si>
  <si>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</si>
  <si>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</si>
  <si>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</si>
  <si>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</si>
  <si>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</si>
  <si>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</si>
  <si>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</si>
  <si>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</si>
  <si>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</si>
  <si>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</si>
  <si>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</si>
  <si>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</si>
  <si>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</si>
  <si>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</si>
  <si>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</si>
  <si>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</si>
  <si>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</si>
  <si>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</si>
  <si>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</si>
  <si>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</si>
  <si>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</si>
  <si>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</si>
  <si>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</si>
  <si>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</si>
  <si>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</si>
  <si>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</si>
  <si>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</si>
  <si>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</si>
  <si>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</si>
  <si>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</si>
  <si>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</si>
  <si>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</si>
  <si>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</si>
  <si>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</si>
  <si>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</si>
  <si>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</si>
  <si>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</si>
  <si>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</si>
  <si>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</si>
  <si>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</si>
  <si>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</si>
  <si>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</si>
  <si>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</si>
  <si>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</si>
  <si>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</si>
  <si>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</si>
  <si>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</si>
  <si>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</si>
  <si>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</si>
  <si>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</si>
  <si>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</si>
  <si>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</si>
  <si>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</si>
  <si>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</si>
  <si>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</si>
  <si>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</si>
  <si>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</si>
  <si>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</si>
  <si>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</si>
  <si>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</si>
  <si>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</si>
  <si>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</si>
  <si>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</si>
  <si>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</si>
  <si>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</si>
  <si>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</si>
  <si>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</si>
  <si>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</si>
  <si>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</si>
  <si>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</si>
  <si>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</si>
  <si>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</si>
  <si>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</si>
  <si>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</si>
  <si>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</si>
  <si>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</si>
  <si>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</si>
  <si>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</si>
  <si>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</si>
  <si>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</si>
  <si>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</si>
  <si>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</si>
  <si>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</si>
  <si>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</si>
  <si>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</si>
  <si>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</si>
  <si>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</si>
  <si>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</si>
  <si>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</si>
  <si>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</si>
  <si>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</si>
  <si>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</si>
  <si>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</si>
  <si>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</si>
  <si>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</si>
  <si>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</si>
  <si>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</si>
  <si>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</si>
  <si>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</si>
  <si>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</si>
  <si>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</si>
  <si>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</si>
  <si>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</si>
  <si>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</si>
  <si>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</si>
  <si>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</si>
  <si>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</si>
  <si>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</si>
  <si>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</si>
  <si>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</si>
  <si>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</si>
  <si>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</si>
  <si>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</si>
  <si>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</si>
  <si>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</si>
  <si>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</si>
  <si>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</si>
  <si>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</si>
  <si>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</si>
  <si>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</si>
  <si>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</si>
  <si>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</si>
  <si>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</si>
  <si>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</si>
  <si>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</si>
  <si>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</si>
  <si>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</si>
  <si>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</si>
  <si>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</si>
  <si>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</si>
  <si>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</si>
  <si>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</si>
  <si>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</si>
  <si>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</si>
  <si>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</si>
  <si>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</si>
  <si>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</si>
  <si>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</si>
  <si>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</si>
  <si>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</si>
  <si>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</si>
  <si>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</si>
  <si>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</si>
  <si>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</si>
  <si>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</si>
  <si>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</si>
  <si>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</si>
  <si>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</si>
  <si>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</si>
  <si>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</si>
  <si>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</si>
  <si>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</si>
  <si>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</si>
  <si>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</si>
  <si>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</si>
  <si>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</si>
  <si>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</si>
  <si>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</si>
  <si>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</si>
  <si>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</si>
  <si>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</si>
  <si>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</si>
  <si>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</si>
  <si>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</si>
  <si>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</si>
  <si>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</si>
  <si>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</si>
  <si>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</si>
  <si>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</si>
  <si>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</si>
  <si>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</si>
  <si>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</si>
  <si>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</si>
  <si>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</si>
  <si>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</si>
  <si>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</si>
  <si>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</si>
  <si>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</si>
  <si>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</si>
  <si>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</si>
  <si>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</si>
  <si>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</si>
  <si>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</si>
  <si>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</si>
  <si>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</si>
  <si>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</si>
  <si>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</si>
  <si>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</si>
  <si>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</si>
  <si>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</si>
  <si>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</si>
  <si>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</si>
  <si>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</si>
  <si>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</si>
  <si>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</si>
  <si>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</si>
  <si>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</si>
  <si>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</si>
  <si>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</si>
  <si>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</si>
  <si>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</si>
  <si>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</si>
  <si>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</si>
  <si>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</si>
  <si>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</si>
  <si>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</si>
  <si>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</si>
  <si>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</si>
  <si>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</si>
  <si>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</si>
  <si>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</si>
  <si>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</si>
  <si>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</si>
  <si>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</si>
  <si>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</si>
  <si>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</si>
  <si>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</si>
  <si>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</si>
  <si>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</si>
  <si>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</si>
  <si>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</si>
  <si>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</si>
  <si>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</si>
  <si>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</si>
  <si>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</si>
  <si>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</si>
  <si>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</si>
  <si>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</si>
  <si>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</si>
  <si>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</si>
  <si>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</si>
  <si>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</si>
  <si>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</si>
  <si>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</si>
  <si>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</si>
  <si>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</si>
  <si>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</si>
  <si>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</si>
  <si>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</si>
  <si>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</si>
  <si>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</si>
  <si>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</si>
  <si>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</si>
  <si>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</si>
  <si>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</si>
  <si>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</si>
  <si>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</si>
  <si>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</si>
  <si>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</si>
  <si>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</si>
  <si>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</si>
  <si>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</si>
  <si>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</si>
  <si>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</si>
  <si>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</si>
  <si>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</si>
  <si>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</si>
  <si>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</si>
  <si>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</si>
  <si>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</si>
  <si>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</si>
  <si>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</si>
  <si>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</si>
  <si>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</si>
  <si>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</si>
  <si>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</si>
  <si>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</si>
  <si>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</si>
  <si>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</si>
  <si>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</si>
  <si>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</si>
  <si>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</si>
  <si>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</si>
  <si>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</si>
  <si>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</si>
  <si>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</si>
  <si>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</si>
  <si>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</si>
  <si>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</si>
  <si>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</si>
  <si>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</si>
  <si>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</si>
  <si>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</si>
  <si>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</si>
  <si>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</si>
  <si>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</si>
  <si>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</si>
  <si>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</si>
  <si>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</si>
  <si>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</si>
  <si>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</si>
  <si>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</si>
  <si>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</si>
  <si>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</si>
  <si>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</si>
  <si>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</si>
  <si>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</si>
  <si>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</si>
  <si>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</si>
  <si>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</si>
  <si>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</si>
  <si>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</si>
  <si>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</si>
  <si>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</si>
  <si>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</si>
  <si>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</si>
  <si>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</si>
  <si>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</si>
  <si>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</si>
  <si>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</si>
  <si>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</si>
  <si>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</si>
  <si>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</si>
  <si>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</si>
  <si>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</si>
  <si>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</si>
  <si>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</si>
  <si>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</si>
  <si>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</si>
  <si>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</si>
  <si>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</si>
  <si>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</si>
  <si>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</si>
  <si>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</si>
  <si>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</si>
  <si>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</si>
  <si>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</si>
  <si>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</si>
  <si>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</si>
  <si>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</si>
  <si>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</si>
  <si>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</si>
  <si>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</si>
  <si>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</si>
  <si>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</si>
  <si>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</si>
  <si>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</si>
  <si>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</si>
  <si>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</si>
  <si>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</si>
  <si>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</si>
  <si>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</si>
  <si>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</si>
  <si>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</si>
  <si>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</si>
  <si>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</si>
  <si>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</si>
  <si>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</si>
  <si>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</si>
  <si>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</si>
  <si>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</si>
  <si>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</si>
  <si>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</si>
  <si>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</si>
  <si>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</si>
  <si>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</si>
  <si>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</si>
  <si>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</si>
  <si>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</si>
  <si>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</si>
  <si>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</si>
  <si>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</si>
  <si>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</si>
  <si>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</si>
  <si>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</si>
  <si>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</si>
  <si>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</si>
  <si>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</si>
  <si>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</si>
  <si>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</si>
  <si>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</si>
  <si>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</si>
  <si>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</si>
  <si>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</si>
  <si>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</si>
  <si>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</si>
  <si>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</si>
  <si>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</si>
  <si>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</si>
  <si>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</si>
  <si>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</si>
  <si>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</si>
  <si>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</si>
  <si>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</si>
  <si>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</si>
  <si>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</si>
  <si>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</si>
  <si>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</si>
  <si>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</si>
  <si>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</si>
  <si>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</si>
  <si>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</si>
  <si>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</si>
  <si>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</si>
  <si>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</si>
  <si>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</si>
  <si>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</si>
  <si>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</si>
  <si>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</si>
  <si>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</si>
  <si>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</si>
  <si>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</si>
  <si>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</si>
  <si>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</si>
  <si>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</si>
  <si>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</si>
  <si>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</si>
  <si>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</si>
  <si>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</si>
  <si>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</si>
  <si>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</si>
  <si>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</si>
  <si>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</si>
  <si>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</si>
  <si>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</si>
  <si>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</si>
  <si>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</si>
  <si>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</si>
  <si>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</si>
  <si>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</si>
  <si>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</si>
  <si>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</si>
  <si>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</si>
  <si>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</si>
  <si>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</si>
  <si>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</si>
  <si>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</si>
  <si>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</si>
  <si>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</si>
  <si>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</si>
  <si>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</si>
  <si>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</si>
  <si>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</si>
  <si>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</si>
  <si>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</si>
  <si>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</si>
  <si>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</si>
  <si>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</si>
  <si>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</si>
  <si>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</si>
  <si>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</si>
  <si>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</si>
  <si>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</si>
  <si>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</si>
  <si>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</si>
  <si>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</si>
  <si>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</si>
  <si>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</si>
  <si>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</si>
  <si>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</si>
  <si>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</si>
  <si>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</si>
  <si>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</si>
  <si>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</si>
  <si>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</si>
  <si>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</si>
  <si>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</si>
  <si>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</si>
  <si>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</si>
  <si>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</si>
  <si>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</si>
  <si>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</si>
  <si>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</si>
  <si>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</si>
  <si>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</si>
  <si>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</si>
  <si>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</si>
  <si>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</si>
  <si>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</si>
  <si>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</si>
  <si>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</si>
  <si>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</si>
  <si>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</si>
  <si>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</si>
  <si>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</si>
  <si>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</si>
  <si>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</si>
  <si>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</si>
  <si>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</si>
  <si>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</si>
  <si>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</si>
  <si>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</si>
  <si>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</si>
  <si>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</si>
  <si>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</si>
  <si>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</si>
  <si>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</si>
  <si>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</si>
  <si>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</si>
  <si>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</si>
  <si>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</si>
  <si>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</si>
  <si>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</si>
  <si>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</si>
  <si>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</si>
  <si>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</si>
  <si>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</si>
  <si>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</si>
  <si>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</si>
  <si>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</si>
  <si>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</si>
  <si>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</si>
  <si>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</si>
  <si>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</si>
  <si>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</si>
  <si>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</si>
  <si>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</si>
  <si>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</si>
  <si>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</si>
  <si>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</si>
  <si>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</si>
  <si>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</si>
  <si>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</si>
  <si>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</si>
  <si>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</si>
  <si>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</si>
  <si>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</si>
  <si>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</si>
  <si>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</si>
  <si>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</si>
  <si>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</si>
  <si>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</si>
  <si>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</si>
  <si>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</si>
  <si>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</si>
  <si>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</si>
  <si>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</si>
  <si>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</si>
  <si>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</si>
  <si>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</si>
  <si>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</si>
  <si>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</si>
  <si>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</si>
  <si>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</si>
  <si>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</si>
  <si>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</si>
  <si>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</si>
  <si>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</si>
  <si>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</si>
  <si>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</si>
  <si>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</si>
  <si>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</si>
  <si>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</si>
  <si>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</si>
  <si>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</si>
  <si>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</si>
  <si>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</si>
  <si>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</si>
  <si>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</si>
  <si>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</si>
  <si>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</si>
  <si>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</si>
  <si>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</si>
  <si>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</si>
  <si>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</si>
  <si>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</si>
  <si>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</si>
  <si>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</si>
  <si>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</si>
  <si>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</si>
  <si>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</si>
  <si>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</si>
  <si>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</si>
  <si>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</si>
  <si>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</si>
  <si>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</si>
  <si>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</si>
  <si>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</si>
  <si>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</si>
  <si>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</si>
  <si>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</si>
  <si>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</si>
  <si>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</si>
  <si>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</si>
  <si>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</si>
  <si>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</si>
  <si>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</si>
  <si>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</si>
  <si>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</si>
  <si>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</si>
  <si>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</si>
  <si>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</si>
  <si>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</si>
  <si>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</si>
  <si>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</si>
  <si>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</si>
  <si>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</si>
  <si>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</si>
  <si>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</si>
  <si>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</si>
  <si>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</si>
  <si>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</si>
  <si>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</si>
  <si>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</si>
  <si>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</si>
  <si>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</si>
  <si>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</si>
  <si>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</si>
  <si>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</si>
  <si>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</si>
  <si>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</si>
  <si>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</si>
  <si>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</si>
  <si>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</si>
  <si>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</si>
  <si>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</si>
  <si>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</si>
  <si>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</si>
  <si>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</si>
  <si>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</si>
  <si>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</si>
  <si>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</si>
  <si>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</si>
  <si>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</si>
  <si>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</si>
  <si>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</si>
  <si>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</si>
  <si>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</si>
  <si>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</si>
  <si>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</si>
  <si>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</si>
  <si>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</si>
  <si>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</si>
  <si>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</si>
  <si>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</si>
  <si>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</si>
  <si>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</si>
  <si>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</si>
  <si>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</si>
  <si>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</si>
  <si>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</si>
  <si>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</si>
  <si>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</si>
  <si>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</si>
  <si>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</si>
  <si>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</si>
  <si>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</si>
  <si>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</si>
  <si>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</si>
  <si>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</si>
  <si>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</si>
  <si>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</si>
  <si>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</si>
  <si>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</si>
  <si>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</si>
  <si>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</si>
  <si>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</si>
  <si>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</si>
  <si>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</si>
  <si>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</si>
  <si>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</si>
  <si>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</si>
  <si>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</si>
  <si>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</si>
  <si>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</si>
  <si>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</si>
  <si>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</si>
  <si>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</si>
  <si>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</si>
  <si>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</si>
  <si>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</si>
  <si>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</si>
  <si>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</si>
  <si>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</si>
  <si>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</si>
  <si>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</si>
  <si>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</si>
  <si>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</si>
  <si>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</si>
  <si>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</si>
  <si>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</si>
  <si>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</si>
  <si>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</si>
  <si>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</si>
  <si>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</si>
  <si>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</si>
  <si>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</si>
  <si>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</si>
  <si>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</si>
  <si>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</si>
  <si>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</si>
  <si>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</si>
  <si>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</si>
  <si>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</si>
  <si>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</si>
  <si>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</si>
  <si>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</si>
  <si>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</si>
  <si>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</si>
  <si>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</si>
  <si>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</si>
  <si>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</si>
  <si>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</si>
  <si>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</si>
  <si>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</si>
  <si>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</si>
  <si>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</si>
  <si>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</si>
  <si>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</si>
  <si>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</si>
  <si>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</si>
  <si>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</si>
  <si>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</si>
  <si>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</si>
  <si>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</si>
  <si>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</si>
  <si>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</si>
  <si>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</si>
  <si>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</si>
  <si>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</si>
  <si>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</si>
  <si>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</si>
  <si>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</si>
  <si>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</si>
  <si>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</si>
  <si>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</si>
  <si>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</si>
  <si>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</si>
  <si>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</si>
  <si>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</si>
  <si>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</si>
  <si>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</si>
  <si>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</si>
  <si>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</si>
  <si>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</si>
  <si>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</si>
  <si>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</si>
  <si>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</si>
  <si>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</si>
  <si>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</si>
  <si>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</si>
  <si>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</si>
  <si>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</si>
  <si>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</si>
  <si>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</si>
  <si>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</si>
  <si>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</si>
  <si>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</si>
  <si>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</si>
  <si>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</si>
  <si>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</si>
  <si>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</si>
  <si>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</si>
  <si>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</si>
  <si>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</si>
  <si>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</si>
  <si>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</si>
  <si>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</si>
  <si>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</si>
  <si>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</si>
  <si>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</si>
  <si>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</si>
  <si>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</si>
  <si>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</si>
  <si>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</si>
  <si>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</si>
  <si>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</si>
  <si>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</si>
  <si>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</si>
  <si>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</si>
  <si>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</si>
  <si>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</si>
  <si>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</si>
  <si>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</si>
  <si>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</si>
  <si>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</si>
  <si>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</si>
  <si>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</si>
  <si>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</si>
  <si>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</si>
  <si>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</si>
  <si>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</si>
  <si>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</si>
  <si>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</si>
  <si>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</si>
  <si>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</si>
  <si>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</si>
  <si>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</si>
  <si>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</si>
  <si>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</si>
  <si>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</si>
  <si>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</si>
  <si>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</si>
  <si>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</si>
  <si>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</si>
  <si>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</si>
  <si>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</si>
  <si>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</si>
  <si>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</si>
  <si>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</si>
  <si>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</si>
  <si>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</si>
  <si>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</si>
  <si>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</si>
  <si>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</si>
  <si>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</si>
  <si>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</si>
  <si>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</si>
  <si>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</si>
  <si>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</si>
  <si>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</si>
  <si>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</si>
  <si>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</si>
  <si>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</si>
  <si>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</si>
  <si>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</si>
  <si>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</si>
  <si>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</si>
  <si>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</si>
  <si>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</si>
  <si>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</si>
  <si>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</si>
  <si>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</si>
  <si>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</si>
  <si>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</si>
  <si>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</si>
  <si>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</si>
  <si>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</si>
  <si>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</si>
  <si>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</si>
  <si>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</si>
  <si>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</si>
  <si>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</si>
  <si>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</si>
  <si>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</si>
  <si>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</si>
  <si>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</si>
  <si>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</si>
  <si>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</si>
  <si>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</si>
  <si>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</si>
  <si>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</si>
  <si>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</si>
  <si>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</si>
  <si>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</si>
  <si>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</si>
  <si>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</si>
  <si>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</si>
  <si>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</si>
  <si>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</si>
  <si>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</si>
  <si>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</si>
  <si>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</si>
  <si>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</si>
  <si>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</si>
  <si>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</si>
  <si>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</si>
  <si>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</si>
  <si>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</si>
  <si>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</si>
  <si>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</si>
  <si>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</si>
  <si>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</si>
  <si>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</si>
  <si>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</si>
  <si>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</si>
  <si>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</si>
  <si>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</si>
  <si>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</si>
  <si>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</si>
  <si>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</si>
  <si>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</si>
  <si>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</si>
  <si>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</si>
  <si>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</si>
  <si>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</si>
  <si>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</si>
  <si>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</si>
  <si>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</si>
  <si>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</si>
  <si>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</si>
  <si>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</si>
  <si>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</si>
  <si>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</si>
  <si>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</si>
  <si>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</si>
  <si>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</si>
  <si>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</si>
  <si>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</si>
  <si>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</si>
  <si>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</si>
  <si>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</si>
  <si>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</si>
  <si>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</si>
  <si>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</si>
  <si>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</si>
  <si>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</si>
  <si>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</si>
  <si>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</si>
  <si>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</si>
  <si>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</si>
  <si>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</si>
  <si>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</si>
  <si>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</si>
  <si>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</si>
  <si>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</si>
  <si>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</si>
  <si>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</si>
  <si>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</si>
  <si>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</si>
  <si>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</si>
  <si>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</si>
  <si>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</si>
  <si>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</si>
  <si>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</si>
  <si>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</si>
  <si>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</si>
  <si>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</si>
  <si>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</si>
  <si>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</si>
  <si>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</si>
  <si>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</si>
  <si>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</si>
  <si>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</si>
  <si>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</si>
  <si>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</si>
  <si>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</si>
  <si>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</si>
  <si>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</si>
  <si>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</si>
  <si>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</si>
  <si>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</si>
  <si>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</si>
  <si>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</si>
  <si>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</si>
  <si>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</si>
  <si>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</si>
  <si>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</si>
  <si>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</si>
  <si>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</si>
  <si>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</si>
  <si>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</si>
  <si>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</si>
  <si>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</si>
  <si>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</si>
  <si>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</si>
  <si>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</si>
  <si>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</si>
  <si>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</si>
  <si>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</si>
  <si>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</si>
  <si>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</si>
  <si>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</si>
  <si>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</si>
  <si>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</si>
  <si>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</si>
  <si>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</si>
  <si>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</si>
  <si>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</si>
  <si>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</si>
  <si>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</si>
  <si>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</si>
  <si>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</si>
  <si>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</si>
  <si>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</si>
  <si>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</si>
  <si>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</si>
  <si>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</si>
  <si>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</si>
  <si>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</si>
  <si>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</si>
  <si>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</si>
  <si>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</si>
  <si>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</si>
  <si>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</si>
  <si>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</si>
  <si>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</si>
  <si>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</si>
  <si>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</si>
  <si>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</si>
  <si>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</si>
  <si>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</si>
  <si>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</si>
  <si>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</si>
  <si>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</si>
  <si>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</si>
  <si>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</si>
  <si>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</si>
  <si>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</si>
  <si>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</si>
  <si>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</si>
  <si>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</si>
  <si>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</si>
  <si>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</si>
  <si>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</si>
  <si>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</si>
  <si>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</si>
  <si>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</si>
  <si>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</si>
  <si>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</si>
  <si>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</si>
  <si>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</si>
  <si>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</si>
  <si>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</si>
  <si>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</si>
  <si>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</si>
  <si>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</si>
  <si>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</si>
  <si>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</si>
  <si>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</si>
  <si>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</si>
  <si>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</si>
  <si>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</si>
  <si>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</si>
  <si>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</si>
  <si>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</si>
  <si>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</si>
  <si>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</si>
  <si>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</si>
  <si>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</si>
  <si>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</si>
  <si>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</si>
  <si>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</si>
  <si>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</si>
  <si>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</si>
  <si>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</si>
  <si>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</si>
  <si>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</si>
  <si>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</si>
  <si>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</si>
  <si>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</si>
  <si>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</si>
  <si>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</si>
  <si>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</si>
  <si>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</si>
  <si>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</si>
  <si>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</si>
  <si>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</si>
  <si>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</si>
  <si>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</si>
  <si>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</si>
  <si>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</si>
  <si>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</si>
  <si>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</si>
  <si>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</si>
  <si>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</si>
  <si>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</si>
  <si>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</si>
  <si>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</si>
  <si>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</si>
  <si>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</si>
  <si>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</si>
  <si>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</si>
  <si>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</si>
  <si>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</si>
  <si>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</si>
  <si>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</si>
  <si>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</si>
  <si>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</si>
  <si>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</si>
  <si>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</si>
  <si>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</si>
  <si>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</si>
  <si>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</si>
  <si>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</si>
  <si>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</si>
  <si>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</si>
  <si>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</si>
  <si>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</si>
  <si>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</si>
  <si>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</si>
  <si>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</si>
  <si>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</si>
  <si>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</si>
  <si>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</si>
  <si>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</si>
  <si>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</si>
  <si>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</si>
  <si>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</si>
  <si>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</si>
  <si>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</si>
  <si>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</si>
  <si>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</si>
  <si>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</si>
  <si>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</si>
  <si>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</si>
  <si>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</si>
  <si>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</si>
  <si>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</si>
  <si>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</si>
  <si>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</si>
  <si>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</si>
  <si>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</si>
  <si>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</si>
  <si>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</si>
  <si>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</si>
  <si>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</si>
  <si>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</si>
  <si>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</si>
  <si>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</si>
  <si>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</si>
  <si>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</si>
  <si>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</si>
  <si>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</si>
  <si>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</si>
  <si>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</si>
  <si>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</si>
  <si>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</si>
  <si>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</si>
  <si>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</si>
  <si>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</si>
  <si>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</si>
  <si>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</si>
  <si>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</si>
  <si>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</si>
  <si>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</si>
  <si>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</si>
  <si>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</si>
  <si>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</si>
  <si>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</si>
  <si>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</si>
  <si>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</si>
  <si>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</si>
  <si>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</si>
  <si>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</si>
  <si>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</si>
  <si>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</si>
  <si>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</si>
  <si>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</si>
  <si>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</si>
  <si>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</si>
  <si>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</si>
  <si>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</si>
  <si>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</si>
  <si>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</si>
  <si>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</si>
  <si>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</si>
  <si>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</si>
  <si>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</si>
  <si>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</si>
  <si>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</si>
  <si>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</si>
  <si>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</si>
  <si>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</si>
  <si>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</si>
  <si>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</si>
  <si>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</si>
  <si>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</si>
  <si>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</si>
  <si>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</si>
  <si>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</si>
  <si>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</si>
  <si>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</si>
  <si>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</si>
  <si>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</si>
  <si>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</si>
  <si>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</si>
  <si>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</si>
  <si>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</si>
  <si>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</si>
  <si>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</si>
  <si>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</si>
  <si>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</si>
  <si>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</si>
  <si>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</si>
  <si>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</si>
  <si>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</si>
  <si>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</si>
  <si>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</si>
  <si>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</si>
  <si>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</si>
  <si>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</si>
  <si>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</si>
  <si>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</si>
  <si>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</si>
  <si>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</si>
  <si>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</si>
  <si>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</si>
  <si>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</si>
  <si>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</si>
  <si>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</si>
  <si>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</si>
  <si>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</si>
  <si>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</si>
  <si>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</si>
  <si>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</si>
  <si>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</si>
  <si>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</si>
  <si>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</si>
  <si>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</si>
  <si>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</si>
  <si>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</si>
  <si>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</si>
  <si>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</si>
  <si>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</si>
  <si>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</si>
  <si>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</si>
  <si>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</si>
  <si>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</si>
  <si>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</si>
  <si>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</si>
  <si>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</si>
  <si>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</si>
  <si>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</si>
  <si>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</si>
  <si>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</si>
  <si>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</si>
  <si>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</si>
  <si>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</si>
  <si>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</si>
  <si>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</si>
  <si>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</si>
  <si>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</si>
  <si>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</si>
  <si>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</si>
  <si>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</si>
  <si>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</si>
  <si>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</si>
  <si>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</si>
  <si>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</si>
  <si>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</si>
  <si>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</si>
  <si>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</si>
  <si>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</si>
  <si>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</si>
  <si>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</si>
  <si>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</si>
  <si>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</si>
  <si>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</si>
  <si>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</si>
  <si>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</si>
  <si>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</si>
  <si>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</si>
  <si>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</si>
  <si>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</si>
  <si>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</si>
  <si>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</si>
  <si>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</si>
  <si>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</si>
  <si>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</si>
  <si>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</si>
  <si>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</si>
  <si>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</si>
  <si>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</si>
  <si>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</si>
  <si>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</si>
  <si>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</si>
  <si>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</si>
  <si>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</si>
  <si>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</si>
  <si>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</si>
  <si>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</si>
  <si>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</si>
  <si>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</si>
  <si>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</si>
  <si>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</si>
  <si>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</si>
  <si>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</si>
  <si>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</si>
  <si>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</si>
  <si>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</si>
  <si>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</si>
  <si>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</si>
  <si>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</si>
  <si>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</si>
  <si>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</si>
  <si>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</si>
  <si>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</si>
  <si>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</si>
  <si>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</si>
  <si>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</si>
  <si>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</si>
  <si>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</si>
  <si>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</si>
  <si>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</si>
  <si>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</si>
  <si>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</si>
  <si>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</si>
  <si>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</si>
  <si>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</si>
  <si>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</si>
  <si>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</si>
  <si>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</si>
  <si>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</si>
  <si>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</si>
  <si>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</si>
  <si>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</si>
  <si>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</si>
  <si>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</si>
  <si>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</si>
  <si>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</si>
  <si>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</si>
  <si>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</si>
  <si>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</si>
  <si>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</si>
  <si>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</si>
  <si>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</si>
  <si>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</si>
  <si>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</si>
  <si>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</si>
  <si>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</si>
  <si>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</si>
  <si>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</si>
  <si>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</si>
  <si>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</si>
  <si>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</si>
  <si>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</si>
  <si>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</si>
  <si>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</si>
  <si>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</si>
  <si>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</si>
  <si>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</si>
  <si>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</si>
  <si>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</si>
  <si>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</si>
  <si>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</si>
  <si>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</si>
  <si>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</si>
  <si>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</si>
  <si>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</si>
  <si>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</si>
  <si>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</si>
  <si>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</si>
  <si>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</si>
  <si>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</si>
  <si>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</si>
  <si>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</si>
  <si>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</si>
  <si>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</si>
  <si>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</si>
  <si>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</si>
  <si>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</si>
  <si>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</si>
  <si>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</si>
  <si>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</si>
  <si>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</si>
  <si>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</si>
  <si>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</si>
  <si>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</si>
  <si>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</si>
  <si>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</si>
  <si>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</si>
  <si>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</si>
  <si>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</si>
  <si>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</si>
  <si>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</si>
  <si>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</si>
  <si>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</si>
  <si>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</si>
  <si>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</si>
  <si>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</si>
  <si>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</si>
  <si>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</si>
  <si>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</si>
  <si>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</si>
  <si>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</si>
  <si>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</si>
  <si>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</si>
  <si>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</si>
  <si>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</si>
  <si>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</si>
  <si>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</si>
  <si>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</si>
  <si>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</si>
  <si>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</si>
  <si>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</si>
  <si>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</si>
  <si>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</si>
  <si>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</si>
  <si>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</si>
  <si>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</si>
  <si>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</si>
  <si>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</si>
  <si>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</si>
  <si>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</si>
  <si>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</si>
  <si>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</si>
  <si>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</si>
  <si>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</si>
  <si>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</si>
  <si>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</si>
  <si>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</si>
  <si>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</si>
  <si>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</si>
  <si>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</si>
  <si>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</si>
  <si>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</si>
  <si>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</si>
  <si>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</si>
  <si>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</si>
  <si>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</si>
  <si>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</si>
  <si>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</si>
  <si>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</si>
  <si>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</si>
  <si>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</si>
  <si>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</si>
  <si>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</si>
  <si>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</si>
  <si>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</si>
  <si>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</si>
  <si>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</si>
  <si>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</si>
  <si>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</si>
  <si>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</si>
  <si>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</si>
  <si>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</si>
  <si>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</si>
  <si>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</si>
  <si>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</si>
  <si>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</si>
  <si>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</si>
  <si>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</si>
  <si>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</si>
  <si>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</si>
  <si>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</si>
  <si>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</si>
  <si>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</si>
  <si>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</si>
  <si>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</si>
  <si>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1130101_</t>
  </si>
  <si>
    <t>2019年度</t>
    <phoneticPr fontId="163" type="noConversion"/>
  </si>
  <si>
    <t>2018年度</t>
    <phoneticPr fontId="163" type="noConversion"/>
  </si>
  <si>
    <t>北京鼎竑</t>
  </si>
  <si>
    <t>北京鼎竑信息技术有限公司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</si>
  <si>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</si>
  <si>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</si>
  <si>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</si>
  <si>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</si>
  <si>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</si>
  <si>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</si>
  <si>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</si>
  <si>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</si>
  <si>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</si>
  <si>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</si>
  <si>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</si>
  <si>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</si>
  <si>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</si>
  <si>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</si>
  <si>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</si>
  <si>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</si>
  <si>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</si>
  <si>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</si>
  <si>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</si>
  <si>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</si>
  <si>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</si>
  <si>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</si>
  <si>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</si>
  <si>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</si>
  <si>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</si>
  <si>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</si>
  <si>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</si>
  <si>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</si>
  <si>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</si>
  <si>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</si>
  <si>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</si>
  <si>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</si>
  <si>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</si>
  <si>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</si>
  <si>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</si>
  <si>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</si>
  <si>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</si>
  <si>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</si>
  <si>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</si>
  <si>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</si>
  <si>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</si>
  <si>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</si>
  <si>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</si>
  <si>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</si>
  <si>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</si>
  <si>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序号</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</si>
  <si>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</si>
  <si>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</si>
  <si>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</si>
  <si>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</si>
  <si>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</si>
  <si>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</si>
  <si>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</si>
  <si>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</si>
  <si>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</si>
  <si>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</si>
  <si>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</si>
  <si>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</si>
  <si>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</si>
  <si>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</si>
  <si>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</si>
  <si>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</si>
  <si>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</si>
  <si>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</si>
  <si>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</si>
  <si>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</si>
  <si>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</si>
  <si>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</si>
  <si>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</si>
  <si>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</si>
  <si>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</si>
  <si>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</si>
  <si>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</si>
  <si>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</si>
  <si>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</si>
  <si>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</si>
  <si>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</si>
  <si>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</si>
  <si>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</si>
  <si>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</si>
  <si>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</si>
  <si>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</si>
  <si>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</si>
  <si>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</si>
  <si>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</si>
  <si>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</si>
  <si>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</si>
  <si>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</si>
  <si>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</si>
  <si>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</si>
  <si>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</si>
  <si>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</si>
  <si>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</si>
  <si>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</si>
  <si>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</si>
  <si>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</si>
  <si>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</si>
  <si>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</si>
  <si>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</si>
  <si>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</si>
  <si>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</si>
  <si>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</si>
  <si>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</si>
  <si>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</si>
  <si>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</si>
  <si>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</si>
  <si>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</si>
  <si>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</si>
  <si>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</si>
  <si>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</si>
  <si>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</si>
  <si>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</si>
  <si>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</si>
  <si>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</si>
  <si>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</si>
  <si>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</si>
  <si>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</si>
  <si>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</si>
  <si>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</si>
  <si>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</si>
  <si>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</si>
  <si>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</si>
  <si>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</si>
  <si>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</si>
  <si>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</si>
  <si>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</si>
  <si>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</si>
  <si>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</si>
  <si>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</si>
  <si>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</si>
  <si>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</si>
  <si>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</si>
  <si>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</si>
  <si>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</si>
  <si>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</si>
  <si>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</si>
  <si>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</si>
  <si>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</si>
  <si>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</si>
  <si>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</si>
  <si>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</si>
  <si>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Y</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</si>
  <si>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</si>
  <si>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</si>
  <si>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</si>
  <si>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</si>
  <si>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</si>
  <si>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</si>
  <si>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</si>
  <si>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</si>
  <si>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</si>
  <si>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</si>
  <si>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</si>
  <si>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</si>
  <si>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</si>
  <si>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</si>
  <si>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</si>
  <si>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</si>
  <si>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</si>
  <si>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</si>
  <si>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</si>
  <si>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关联往来下降，母公司上海金科不再分包业务</t>
    <phoneticPr fontId="163" type="noConversion"/>
  </si>
  <si>
    <t>少于开发支出的原因？？研发失败费用化？？</t>
    <phoneticPr fontId="163" type="noConversion"/>
  </si>
  <si>
    <t>人呢？</t>
    <phoneticPr fontId="163" type="noConversion"/>
  </si>
  <si>
    <t>关联往来下降</t>
    <phoneticPr fontId="163" type="noConversion"/>
  </si>
  <si>
    <t>母公司不再分包？业绩下降？</t>
    <phoneticPr fontId="163" type="noConversion"/>
  </si>
  <si>
    <t>？？主要是什么项目</t>
    <phoneticPr fontId="163" type="noConversion"/>
  </si>
  <si>
    <t>前1期</t>
    <phoneticPr fontId="163" type="noConversion"/>
  </si>
  <si>
    <t>水利建设基金</t>
  </si>
  <si>
    <t>残保金</t>
  </si>
  <si>
    <t>职工薪酬</t>
  </si>
  <si>
    <t>差旅费</t>
  </si>
  <si>
    <t>办公费</t>
  </si>
  <si>
    <t>折旧与摊销</t>
  </si>
  <si>
    <t>%IN</t>
    <phoneticPr fontId="163" type="noConversion"/>
  </si>
  <si>
    <t>稳岗补贴</t>
  </si>
  <si>
    <t>其他</t>
    <phoneticPr fontId="163" type="noConversion"/>
  </si>
  <si>
    <t>退税款</t>
    <phoneticPr fontId="163" type="noConversion"/>
  </si>
  <si>
    <t>收到押金保证金</t>
  </si>
  <si>
    <t>员工还款</t>
  </si>
  <si>
    <t>收到政府补助</t>
  </si>
  <si>
    <t>其他单位往来款</t>
  </si>
  <si>
    <t>支付的费用</t>
  </si>
  <si>
    <t>上海金科</t>
  </si>
  <si>
    <t>软件开发</t>
    <phoneticPr fontId="163" type="noConversion"/>
  </si>
  <si>
    <t>电子设备及其他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</si>
</sst>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3">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63">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89" fillId="14" borderId="319" xfId="0" applyFont="1" applyFill="1" applyBorder="1" applyAlignment="1" applyProtection="1">
      <alignment horizontal="center" vertical="center"/>
      <protection hidden="1"/>
    </xf>
    <xf numFmtId="177" fontId="22" fillId="17" borderId="318" xfId="4" applyNumberFormat="1" applyFont="1" applyFill="1" applyBorder="1" applyAlignment="1" applyProtection="1">
      <alignment vertical="center" shrinkToFit="1"/>
    </xf>
    <xf numFmtId="177" fontId="22" fillId="17" borderId="318" xfId="4" applyNumberFormat="1" applyFont="1" applyFill="1" applyBorder="1" applyAlignment="1" applyProtection="1">
      <alignment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177" fontId="247" fillId="2" borderId="0" xfId="0" applyNumberFormat="1" applyFont="1" applyFill="1" applyBorder="1" applyAlignment="1" applyProtection="1">
      <alignment vertical="center" shrinkToFit="1"/>
      <protection locked="0"/>
    </xf>
    <xf numFmtId="177" fontId="247" fillId="2"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7">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Diff -1,747,379.72</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1,433,969.27</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6419</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6613</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6657</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6649</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6607</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6420</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6420</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6421</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6618</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6620</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6422</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6423</v>
      </c>
      <c r="U26" s="2798" t="s">
        <v>6420</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6621</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6424</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6622</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6425</v>
      </c>
      <c r="U30" s="2798" t="s">
        <v>6421</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6618</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6426</v>
      </c>
      <c r="U32" s="2798" t="s">
        <v>6421</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6618</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6427</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6428</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6429</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6375</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6376</v>
      </c>
      <c r="U49" s="2798" t="s">
        <v>6420</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6377</v>
      </c>
      <c r="U50" s="2798" t="s">
        <v>6420</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6378</v>
      </c>
      <c r="U51" s="2798" t="s">
        <v>6421</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6371</v>
      </c>
      <c r="T52" s="2798" t="s">
        <v>6379</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6372</v>
      </c>
      <c r="T53" s="2798" t="s">
        <v>6380</v>
      </c>
      <c r="U53" s="2798" t="s">
        <v>6420</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6373</v>
      </c>
      <c r="T54" s="2798" t="s">
        <v>6381</v>
      </c>
      <c r="U54" s="2798" t="s">
        <v>6420</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6374</v>
      </c>
      <c r="T55" s="2798" t="s">
        <v>6382</v>
      </c>
      <c r="U55" s="2798" t="s">
        <v>6421</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6383</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6430</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6430</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6431</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6618</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6432</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6620</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6621</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6420</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6622</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6421</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6618</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6627</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6421</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6433</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6420</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6421</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6421</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6434</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6420</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6421</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6421</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6435</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6436</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6437</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6438</v>
      </c>
      <c r="U124" s="2798" t="s">
        <v>6431</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6622</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6439</v>
      </c>
      <c r="U139" s="2798" t="s">
        <v>6431</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6440</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6441</v>
      </c>
      <c r="U150" s="2798" t="s">
        <v>6431</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6442</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6443</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6421</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6444</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6445</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6446</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6447</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6448</v>
      </c>
      <c r="U191" s="2798" t="s">
        <v>47</v>
      </c>
      <c r="V191" s="2798">
        <v>1</v>
      </c>
      <c r="W191" s="2798">
        <v>1604</v>
      </c>
      <c r="X191" s="2798">
        <v>2</v>
      </c>
      <c r="Y191" s="2795" t="s">
        <v>6622</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6449</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6449</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6450</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6451</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6452</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6453</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6454</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6455</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6456</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6457</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6613</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6613</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6639</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6640</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6458</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6613</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6459</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6635</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6620</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1r050JqLGYVIFe0hD9WVFEKKW3MAJvY3/AKu2iR9Igoc6JGdcCvoptAfccbgTiFf3frtPAfypmlVpthLU1Natw==" saltValue="ndp9j7W+/8GiwNlPWdDRE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6654</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6653</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6650</v>
      </c>
      <c r="D7" s="1345" t="s">
        <v>2436</v>
      </c>
      <c r="E7" s="1357" t="s">
        <v>2437</v>
      </c>
      <c r="F7" s="1358" t="s">
        <v>6651</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6652</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6655</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XiSwdEMdDqrQ/knNpp/8uUZ+YR+ovlrvwgVKp+JZz+NFga+AZkz8yHQcnwO28fw4vuE5/anas2e4N3Ze9beew==" saltValue="JX74x0pQUpDw2ijltg+68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215" activePane="bottomRight" state="frozen"/>
      <selection pane="topRight" activeCell="G1" sqref="G1"/>
      <selection pane="bottomLeft" activeCell="A9" sqref="A9"/>
      <selection pane="bottomRight" activeCell="I231" sqref="I231"/>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北京鼎竑信息技术有限公司</v>
      </c>
      <c r="F2" s="1247"/>
      <c r="G2" s="1248"/>
      <c r="H2" s="1295"/>
      <c r="I2" s="1317" t="s">
        <v>2521</v>
      </c>
      <c r="J2" s="745"/>
      <c r="K2" s="1318" t="s">
        <v>2501</v>
      </c>
      <c r="L2" s="745"/>
      <c r="M2" s="1319"/>
      <c r="N2" s="1320"/>
      <c r="O2" s="641"/>
      <c r="P2" s="2788" t="s">
        <v>6601</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6606</v>
      </c>
      <c r="N3" s="745"/>
      <c r="O3" s="641"/>
      <c r="P3" s="2788"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6603</v>
      </c>
      <c r="Q4" s="641"/>
      <c r="R4" s="641"/>
    </row>
    <row r="5" spans="1:25" ht="12" customHeight="1" thickBot="1">
      <c r="A5" s="745"/>
      <c r="B5" s="643"/>
      <c r="C5" s="643"/>
      <c r="D5" s="1300"/>
      <c r="E5" s="1301"/>
      <c r="F5" s="1301"/>
      <c r="G5" s="1300"/>
      <c r="H5" s="1302"/>
      <c r="I5" s="1322"/>
      <c r="J5" s="1323"/>
      <c r="K5" s="1324"/>
      <c r="L5" s="1323"/>
      <c r="M5" s="1322"/>
      <c r="N5" s="1301"/>
      <c r="O5" s="641"/>
      <c r="P5" s="2788"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6815</v>
      </c>
      <c r="E8" s="1306" t="s">
        <v>2529</v>
      </c>
      <c r="F8" s="1307" t="s">
        <v>2530</v>
      </c>
      <c r="G8" s="1308" t="s">
        <v>2531</v>
      </c>
      <c r="H8" s="1309" t="s">
        <v>2532</v>
      </c>
      <c r="I8" s="1305" t="s">
        <v>2533</v>
      </c>
      <c r="J8" s="1326" t="s">
        <v>2534</v>
      </c>
      <c r="K8" s="1327" t="s">
        <v>2535</v>
      </c>
      <c r="L8" s="1306" t="s">
        <v>2536</v>
      </c>
      <c r="M8" s="1305" t="s">
        <v>2537</v>
      </c>
      <c r="N8" s="1328" t="s">
        <v>2534</v>
      </c>
      <c r="O8" s="3093" t="s">
        <v>6804</v>
      </c>
      <c r="P8" s="3094" t="s">
        <v>6805</v>
      </c>
      <c r="Q8" s="3094" t="s">
        <v>6806</v>
      </c>
      <c r="R8" s="3094" t="s">
        <v>6807</v>
      </c>
      <c r="S8" s="3095" t="s">
        <v>6808</v>
      </c>
      <c r="T8" s="3095" t="s">
        <v>6809</v>
      </c>
      <c r="U8" s="3095" t="s">
        <v>6810</v>
      </c>
      <c r="V8" s="3095" t="s">
        <v>6811</v>
      </c>
      <c r="W8" s="3095" t="s">
        <v>6812</v>
      </c>
      <c r="X8" s="3095" t="s">
        <v>6813</v>
      </c>
      <c r="Y8" s="3096" t="s">
        <v>6814</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0</v>
      </c>
      <c r="H9" s="1312">
        <f t="shared" ref="H9:H16" ca="1" si="2">INDIRECT("Notes!CheckA"&amp;$C9)</f>
        <v>0</v>
      </c>
      <c r="I9" s="3090">
        <f ca="1">IF(AND(LEN(G9)&gt;0,LEN(H9)&gt;0),ROUND(SUM(G9)-SUM(H9),2),"")</f>
        <v>0</v>
      </c>
      <c r="J9" s="1293" t="str">
        <f ca="1">IF(ISNA(I9),"N/A",IF(I9=0,"√","？"))</f>
        <v>√</v>
      </c>
      <c r="K9" s="1311">
        <f t="shared" ref="K9:K40" si="3">IF(ISERROR(VLOOKUP($B9,Sheet_Trialbal,10,0)),"        ----",VLOOKUP($B9,Sheet_Trialbal,10,0))</f>
        <v>799162.6</v>
      </c>
      <c r="L9" s="70">
        <f ca="1">INDIRECT("Notes!CheckB"&amp;$C9)</f>
        <v>0</v>
      </c>
      <c r="M9" s="3090">
        <f ca="1">IF(AND(LEN(K9)&gt;0,LEN(L9)&gt;0),ROUND(SUM(K9)-SUM(L9),2),"")</f>
        <v>799162.6</v>
      </c>
      <c r="N9" s="1293" t="str">
        <f ca="1">IF(ISNA(M9),"N/A",IF(M9=0,"√","？"))</f>
        <v>？</v>
      </c>
      <c r="O9" s="3097"/>
      <c r="P9" s="3098"/>
      <c r="Q9" s="3098"/>
      <c r="R9" s="3098"/>
      <c r="S9" s="3099" t="s">
        <v>295</v>
      </c>
      <c r="T9" s="3099" t="s">
        <v>213</v>
      </c>
      <c r="U9" s="3100">
        <v>1015</v>
      </c>
      <c r="V9" s="3100" t="s">
        <v>295</v>
      </c>
      <c r="W9" s="3100" t="s">
        <v>6797</v>
      </c>
      <c r="X9" s="3100" t="s">
        <v>6798</v>
      </c>
      <c r="Y9" s="3101" t="s">
        <v>164</v>
      </c>
    </row>
    <row r="10" spans="1:25" ht="18">
      <c r="A10" s="1304"/>
      <c r="B10" s="643">
        <v>1015</v>
      </c>
      <c r="C10" s="643" t="s">
        <v>45</v>
      </c>
      <c r="D10" s="3085">
        <v>1</v>
      </c>
      <c r="E10" s="3086" t="str">
        <f t="shared" si="0"/>
        <v>货币资金</v>
      </c>
      <c r="F10" s="3087" t="s">
        <v>46</v>
      </c>
      <c r="G10" s="3088">
        <f t="shared" si="1"/>
        <v>0</v>
      </c>
      <c r="H10" s="3089">
        <f t="shared" ca="1" si="2"/>
        <v>0</v>
      </c>
      <c r="I10" s="3091">
        <f ca="1">IF(AND(LEN(G10)&gt;0,LEN(H10)&gt;0),ROUND(SUM(G10)-SUM(H10),2),"")</f>
        <v>0</v>
      </c>
      <c r="J10" s="3070" t="str">
        <f ca="1">IF(ISNA(I10),"N/A",IF(I10=0,"√","？"))</f>
        <v>√</v>
      </c>
      <c r="K10" s="3088">
        <f t="shared" si="3"/>
        <v>799162.6</v>
      </c>
      <c r="L10" s="3069">
        <f ca="1">INDIRECT("Notes!CheckB"&amp;$C10)</f>
        <v>0</v>
      </c>
      <c r="M10" s="3091">
        <f ca="1">IF(AND(LEN(K10)&gt;0,LEN(L10)&gt;0),ROUND(SUM(K10)-SUM(L10),2),"")</f>
        <v>799162.6</v>
      </c>
      <c r="N10" s="3070" t="str">
        <f ca="1">IF(ISNA(M10),"N/A",IF(M10=0,"√","？"))</f>
        <v>？</v>
      </c>
      <c r="O10" s="3097"/>
      <c r="P10" s="3098"/>
      <c r="Q10" s="3098"/>
      <c r="R10" s="3098"/>
      <c r="S10" s="3099" t="s">
        <v>295</v>
      </c>
      <c r="T10" s="3099" t="s">
        <v>213</v>
      </c>
      <c r="U10" s="3100"/>
      <c r="V10" s="3100" t="s">
        <v>295</v>
      </c>
      <c r="W10" s="3100" t="s">
        <v>6797</v>
      </c>
      <c r="X10" s="3100" t="s">
        <v>213</v>
      </c>
      <c r="Y10" s="3101" t="s">
        <v>164</v>
      </c>
    </row>
    <row r="11" spans="1:25" ht="18" hidden="1">
      <c r="A11" s="1304"/>
      <c r="B11" s="643">
        <v>1015</v>
      </c>
      <c r="C11" s="643" t="s">
        <v>88</v>
      </c>
      <c r="D11" s="3085">
        <v>2</v>
      </c>
      <c r="E11" s="3086" t="str">
        <f t="shared" si="0"/>
        <v>货币资金</v>
      </c>
      <c r="F11" s="3087" t="s">
        <v>89</v>
      </c>
      <c r="G11" s="3088">
        <f t="shared" si="1"/>
        <v>0</v>
      </c>
      <c r="H11" s="3089">
        <f t="shared" ca="1" si="2"/>
        <v>0</v>
      </c>
      <c r="I11" s="3091" t="s">
        <v>6803</v>
      </c>
      <c r="J11" s="3070"/>
      <c r="K11" s="3088">
        <f t="shared" si="3"/>
        <v>799162.6</v>
      </c>
      <c r="L11" s="3069" t="s">
        <v>6799</v>
      </c>
      <c r="M11" s="3091" t="s">
        <v>6803</v>
      </c>
      <c r="N11" s="3070"/>
      <c r="O11" s="3097"/>
      <c r="P11" s="3098"/>
      <c r="Q11" s="3098"/>
      <c r="R11" s="3098"/>
      <c r="S11" s="3099" t="s">
        <v>295</v>
      </c>
      <c r="T11" s="3099" t="s">
        <v>213</v>
      </c>
      <c r="U11" s="3100">
        <v>1015</v>
      </c>
      <c r="V11" s="3100" t="s">
        <v>295</v>
      </c>
      <c r="W11" s="3100" t="s">
        <v>6797</v>
      </c>
      <c r="X11" s="3100" t="s">
        <v>213</v>
      </c>
      <c r="Y11" s="3101" t="s">
        <v>164</v>
      </c>
    </row>
    <row r="12" spans="1:25" ht="24">
      <c r="A12" s="1304"/>
      <c r="B12" s="643">
        <v>1102</v>
      </c>
      <c r="C12" s="643" t="s">
        <v>135</v>
      </c>
      <c r="D12" s="3085">
        <v>1</v>
      </c>
      <c r="E12" s="3086" t="str">
        <f t="shared" si="0"/>
        <v>交易性金融资产</v>
      </c>
      <c r="F12" s="3087" t="s">
        <v>136</v>
      </c>
      <c r="G12" s="3088">
        <f t="shared" si="1"/>
        <v>0</v>
      </c>
      <c r="H12" s="3089">
        <f t="shared" ca="1" si="2"/>
        <v>0</v>
      </c>
      <c r="I12" s="3091">
        <f ca="1">IF(AND(LEN(G12)&gt;0,LEN(H12)&gt;0),ROUND(SUM(G12)-SUM(H12),2),"")</f>
        <v>0</v>
      </c>
      <c r="J12" s="3070" t="str">
        <f ca="1">IF(ISNA(I12),"N/A",IF(I12=0,"√","？"))</f>
        <v>√</v>
      </c>
      <c r="K12" s="3088">
        <f t="shared" si="3"/>
        <v>0</v>
      </c>
      <c r="L12" s="3069">
        <f ca="1">INDIRECT("Notes!CheckB"&amp;$C12)</f>
        <v>0</v>
      </c>
      <c r="M12" s="3091">
        <f ca="1">IF(AND(LEN(K12)&gt;0,LEN(L12)&gt;0),ROUND(SUM(K12)-SUM(L12),2),"")</f>
        <v>0</v>
      </c>
      <c r="N12" s="3070" t="str">
        <f ca="1">IF(ISNA(M12),"N/A",IF(M12=0,"√","？"))</f>
        <v>√</v>
      </c>
      <c r="O12" s="3097"/>
      <c r="P12" s="3098"/>
      <c r="Q12" s="3098"/>
      <c r="R12" s="3098"/>
      <c r="S12" s="3099" t="s">
        <v>295</v>
      </c>
      <c r="T12" s="3099" t="s">
        <v>213</v>
      </c>
      <c r="U12" s="3100">
        <v>1102</v>
      </c>
      <c r="V12" s="3100" t="s">
        <v>295</v>
      </c>
      <c r="W12" s="3100" t="s">
        <v>145</v>
      </c>
      <c r="X12" s="3100" t="s">
        <v>6800</v>
      </c>
      <c r="Y12" s="3101" t="s">
        <v>119</v>
      </c>
    </row>
    <row r="13" spans="1:25" ht="36">
      <c r="A13" s="1304"/>
      <c r="B13" s="643">
        <v>1101</v>
      </c>
      <c r="C13" s="643" t="s">
        <v>106</v>
      </c>
      <c r="D13" s="3085">
        <v>1</v>
      </c>
      <c r="E13" s="3086" t="str">
        <f t="shared" si="0"/>
        <v>以公允价值计量且其变动计入当期损益的金融资产</v>
      </c>
      <c r="F13" s="3087" t="s">
        <v>107</v>
      </c>
      <c r="G13" s="3088">
        <f t="shared" si="1"/>
        <v>0</v>
      </c>
      <c r="H13" s="3089">
        <f t="shared" ca="1" si="2"/>
        <v>0</v>
      </c>
      <c r="I13" s="3091">
        <f ca="1">IF(AND(LEN(G13)&gt;0,LEN(H13)&gt;0),ROUND(SUM(G13)-SUM(H13),2),"")</f>
        <v>0</v>
      </c>
      <c r="J13" s="3070" t="str">
        <f ca="1">IF(ISNA(I13),"N/A",IF(I13=0,"√","？"))</f>
        <v>√</v>
      </c>
      <c r="K13" s="3088">
        <f t="shared" si="3"/>
        <v>0</v>
      </c>
      <c r="L13" s="3069">
        <f ca="1">INDIRECT("Notes!CheckB"&amp;$C13)</f>
        <v>0</v>
      </c>
      <c r="M13" s="3091">
        <f ca="1">IF(AND(LEN(K13)&gt;0,LEN(L13)&gt;0),ROUND(SUM(K13)-SUM(L13),2),"")</f>
        <v>0</v>
      </c>
      <c r="N13" s="3070" t="str">
        <f ca="1">IF(ISNA(M13),"N/A",IF(M13=0,"√","？"))</f>
        <v>√</v>
      </c>
      <c r="O13" s="3097"/>
      <c r="P13" s="3098"/>
      <c r="Q13" s="3098"/>
      <c r="R13" s="3098"/>
      <c r="S13" s="3099" t="s">
        <v>295</v>
      </c>
      <c r="T13" s="3099" t="s">
        <v>213</v>
      </c>
      <c r="U13" s="3100">
        <v>1101</v>
      </c>
      <c r="V13" s="3100" t="s">
        <v>295</v>
      </c>
      <c r="W13" s="3100" t="s">
        <v>6797</v>
      </c>
      <c r="X13" s="3100" t="s">
        <v>6798</v>
      </c>
      <c r="Y13" s="3101" t="s">
        <v>164</v>
      </c>
    </row>
    <row r="14" spans="1:25" ht="18">
      <c r="A14" s="1304"/>
      <c r="B14" s="643">
        <v>1115</v>
      </c>
      <c r="C14" s="643" t="s">
        <v>148</v>
      </c>
      <c r="D14" s="3085">
        <v>1</v>
      </c>
      <c r="E14" s="3086" t="str">
        <f t="shared" si="0"/>
        <v>衍生金融资产</v>
      </c>
      <c r="F14" s="3087" t="s">
        <v>6419</v>
      </c>
      <c r="G14" s="3088">
        <f t="shared" si="1"/>
        <v>0</v>
      </c>
      <c r="H14" s="3089">
        <f t="shared" ca="1" si="2"/>
        <v>0</v>
      </c>
      <c r="I14" s="3091">
        <f ca="1">IF(AND(LEN(G14)&gt;0,LEN(H14)&gt;0),ROUND(SUM(G14)-SUM(H14),2),"")</f>
        <v>0</v>
      </c>
      <c r="J14" s="3070" t="str">
        <f ca="1">IF(ISNA(I14),"N/A",IF(I14=0,"√","？"))</f>
        <v>√</v>
      </c>
      <c r="K14" s="3088">
        <f t="shared" si="3"/>
        <v>0</v>
      </c>
      <c r="L14" s="3069">
        <f ca="1">INDIRECT("Notes!CheckB"&amp;$C14)</f>
        <v>0</v>
      </c>
      <c r="M14" s="3091">
        <f ca="1">IF(AND(LEN(K14)&gt;0,LEN(L14)&gt;0),ROUND(SUM(K14)-SUM(L14),2),"")</f>
        <v>0</v>
      </c>
      <c r="N14" s="3070" t="str">
        <f ca="1">IF(ISNA(M14),"N/A",IF(M14=0,"√","？"))</f>
        <v>√</v>
      </c>
      <c r="O14" s="3097"/>
      <c r="P14" s="3098"/>
      <c r="Q14" s="3098"/>
      <c r="R14" s="3098"/>
      <c r="S14" s="3099" t="s">
        <v>295</v>
      </c>
      <c r="T14" s="3099" t="s">
        <v>213</v>
      </c>
      <c r="U14" s="3100">
        <v>1115</v>
      </c>
      <c r="V14" s="3100" t="s">
        <v>295</v>
      </c>
      <c r="W14" s="3100" t="s">
        <v>6797</v>
      </c>
      <c r="X14" s="3100" t="s">
        <v>6798</v>
      </c>
      <c r="Y14" s="3101" t="s">
        <v>164</v>
      </c>
    </row>
    <row r="15" spans="1:25" ht="18">
      <c r="A15" s="1304"/>
      <c r="B15" s="643">
        <v>1121</v>
      </c>
      <c r="C15" s="643" t="s">
        <v>159</v>
      </c>
      <c r="D15" s="3085">
        <v>1</v>
      </c>
      <c r="E15" s="3086" t="str">
        <f t="shared" si="0"/>
        <v>应收票据</v>
      </c>
      <c r="F15" s="3087" t="s">
        <v>160</v>
      </c>
      <c r="G15" s="3088">
        <f t="shared" si="1"/>
        <v>0</v>
      </c>
      <c r="H15" s="3089">
        <f t="shared" ca="1" si="2"/>
        <v>0</v>
      </c>
      <c r="I15" s="3091">
        <f ca="1">IF(AND(LEN(G15)&gt;0,LEN(H15)&gt;0),ROUND(SUM(G15)-SUM(H15),2),"")</f>
        <v>0</v>
      </c>
      <c r="J15" s="3070" t="str">
        <f ca="1">IF(ISNA(I15),"N/A",IF(I15=0,"√","？"))</f>
        <v>√</v>
      </c>
      <c r="K15" s="3088">
        <f t="shared" si="3"/>
        <v>0</v>
      </c>
      <c r="L15" s="3069">
        <f ca="1">INDIRECT("Notes!CheckB"&amp;$C15)</f>
        <v>0</v>
      </c>
      <c r="M15" s="3091">
        <f ca="1">IF(AND(LEN(K15)&gt;0,LEN(L15)&gt;0),ROUND(SUM(K15)-SUM(L15),2),"")</f>
        <v>0</v>
      </c>
      <c r="N15" s="3070" t="str">
        <f ca="1">IF(ISNA(M15),"N/A",IF(M15=0,"√","？"))</f>
        <v>√</v>
      </c>
      <c r="O15" s="3097"/>
      <c r="P15" s="3098"/>
      <c r="Q15" s="3098"/>
      <c r="R15" s="3098"/>
      <c r="S15" s="3099" t="s">
        <v>295</v>
      </c>
      <c r="T15" s="3099" t="s">
        <v>213</v>
      </c>
      <c r="U15" s="3100">
        <v>1121</v>
      </c>
      <c r="V15" s="3100" t="s">
        <v>295</v>
      </c>
      <c r="W15" s="3100" t="s">
        <v>145</v>
      </c>
      <c r="X15" s="3100" t="s">
        <v>6800</v>
      </c>
      <c r="Y15" s="3101" t="s">
        <v>119</v>
      </c>
    </row>
    <row r="16" spans="1:25" ht="18" hidden="1">
      <c r="A16" s="1304"/>
      <c r="B16" s="643">
        <v>1121</v>
      </c>
      <c r="C16" s="643" t="s">
        <v>170</v>
      </c>
      <c r="D16" s="3085">
        <v>2</v>
      </c>
      <c r="E16" s="3086" t="str">
        <f t="shared" si="0"/>
        <v>应收票据</v>
      </c>
      <c r="F16" s="3087" t="s">
        <v>171</v>
      </c>
      <c r="G16" s="3088">
        <f t="shared" si="1"/>
        <v>0</v>
      </c>
      <c r="H16" s="3089">
        <f t="shared" ca="1" si="2"/>
        <v>0</v>
      </c>
      <c r="I16" s="3091" t="s">
        <v>6803</v>
      </c>
      <c r="J16" s="3070"/>
      <c r="K16" s="3088">
        <f t="shared" si="3"/>
        <v>0</v>
      </c>
      <c r="L16" s="3069" t="s">
        <v>6799</v>
      </c>
      <c r="M16" s="3091" t="s">
        <v>6803</v>
      </c>
      <c r="N16" s="3070"/>
      <c r="O16" s="3097"/>
      <c r="P16" s="3098"/>
      <c r="Q16" s="3098"/>
      <c r="R16" s="3098"/>
      <c r="S16" s="3099" t="s">
        <v>295</v>
      </c>
      <c r="T16" s="3099" t="s">
        <v>213</v>
      </c>
      <c r="U16" s="3100">
        <v>1121</v>
      </c>
      <c r="V16" s="3100" t="s">
        <v>295</v>
      </c>
      <c r="W16" s="3100" t="s">
        <v>6797</v>
      </c>
      <c r="X16" s="3100" t="s">
        <v>6800</v>
      </c>
      <c r="Y16" s="3101" t="s">
        <v>164</v>
      </c>
    </row>
    <row r="17" spans="1:25" ht="24" hidden="1">
      <c r="A17" s="1304"/>
      <c r="B17" s="643">
        <v>1121</v>
      </c>
      <c r="C17" s="643" t="s">
        <v>178</v>
      </c>
      <c r="D17" s="3085">
        <v>2</v>
      </c>
      <c r="E17" s="3086" t="str">
        <f t="shared" si="0"/>
        <v>应收票据</v>
      </c>
      <c r="F17" s="3087" t="s">
        <v>179</v>
      </c>
      <c r="G17" s="3088">
        <f t="shared" si="1"/>
        <v>0</v>
      </c>
      <c r="H17" s="3089" t="s">
        <v>6799</v>
      </c>
      <c r="I17" s="3091" t="s">
        <v>6803</v>
      </c>
      <c r="J17" s="3070"/>
      <c r="K17" s="3088">
        <f t="shared" si="3"/>
        <v>0</v>
      </c>
      <c r="L17" s="3069" t="s">
        <v>6799</v>
      </c>
      <c r="M17" s="3091" t="s">
        <v>6803</v>
      </c>
      <c r="N17" s="3070"/>
      <c r="O17" s="3097"/>
      <c r="P17" s="3098"/>
      <c r="Q17" s="3098"/>
      <c r="R17" s="3098"/>
      <c r="S17" s="3099" t="s">
        <v>295</v>
      </c>
      <c r="T17" s="3099" t="s">
        <v>213</v>
      </c>
      <c r="U17" s="3100">
        <v>1121</v>
      </c>
      <c r="V17" s="3100" t="s">
        <v>295</v>
      </c>
      <c r="W17" s="3100" t="s">
        <v>6797</v>
      </c>
      <c r="X17" s="3100" t="s">
        <v>6800</v>
      </c>
      <c r="Y17" s="3101" t="s">
        <v>164</v>
      </c>
    </row>
    <row r="18" spans="1:25" ht="36" hidden="1">
      <c r="A18" s="1304"/>
      <c r="B18" s="643">
        <v>1121</v>
      </c>
      <c r="C18" s="643" t="s">
        <v>189</v>
      </c>
      <c r="D18" s="3085">
        <v>2</v>
      </c>
      <c r="E18" s="3086" t="str">
        <f t="shared" si="0"/>
        <v>应收票据</v>
      </c>
      <c r="F18" s="3087" t="s">
        <v>190</v>
      </c>
      <c r="G18" s="3088">
        <f t="shared" si="1"/>
        <v>0</v>
      </c>
      <c r="H18" s="3089">
        <f t="shared" ref="H18:H33" ca="1" si="4">INDIRECT("Notes!CheckA"&amp;$C18)</f>
        <v>0</v>
      </c>
      <c r="I18" s="3091" t="s">
        <v>6803</v>
      </c>
      <c r="J18" s="3070"/>
      <c r="K18" s="3088">
        <f t="shared" si="3"/>
        <v>0</v>
      </c>
      <c r="L18" s="3069" t="s">
        <v>6799</v>
      </c>
      <c r="M18" s="3091" t="s">
        <v>6803</v>
      </c>
      <c r="N18" s="3070"/>
      <c r="O18" s="3097"/>
      <c r="P18" s="3098"/>
      <c r="Q18" s="3098"/>
      <c r="R18" s="3098"/>
      <c r="S18" s="3099" t="s">
        <v>295</v>
      </c>
      <c r="T18" s="3099" t="s">
        <v>213</v>
      </c>
      <c r="U18" s="3100">
        <v>1121</v>
      </c>
      <c r="V18" s="3100" t="s">
        <v>295</v>
      </c>
      <c r="W18" s="3100" t="s">
        <v>6797</v>
      </c>
      <c r="X18" s="3100" t="s">
        <v>6800</v>
      </c>
      <c r="Y18" s="3101" t="s">
        <v>164</v>
      </c>
    </row>
    <row r="19" spans="1:25" ht="24" hidden="1">
      <c r="A19" s="1304"/>
      <c r="B19" s="643">
        <v>1121</v>
      </c>
      <c r="C19" s="643" t="s">
        <v>199</v>
      </c>
      <c r="D19" s="3085">
        <v>2</v>
      </c>
      <c r="E19" s="3086" t="str">
        <f t="shared" si="0"/>
        <v>应收票据</v>
      </c>
      <c r="F19" s="3087" t="s">
        <v>200</v>
      </c>
      <c r="G19" s="3088">
        <f t="shared" si="1"/>
        <v>0</v>
      </c>
      <c r="H19" s="3089">
        <f t="shared" ca="1" si="4"/>
        <v>0</v>
      </c>
      <c r="I19" s="3091" t="s">
        <v>6803</v>
      </c>
      <c r="J19" s="3070"/>
      <c r="K19" s="3088">
        <f t="shared" si="3"/>
        <v>0</v>
      </c>
      <c r="L19" s="3069" t="s">
        <v>6799</v>
      </c>
      <c r="M19" s="3091" t="s">
        <v>6803</v>
      </c>
      <c r="N19" s="3070"/>
      <c r="O19" s="3097"/>
      <c r="P19" s="3098"/>
      <c r="Q19" s="3098"/>
      <c r="R19" s="3098"/>
      <c r="S19" s="3099" t="s">
        <v>295</v>
      </c>
      <c r="T19" s="3099" t="s">
        <v>213</v>
      </c>
      <c r="U19" s="3100"/>
      <c r="V19" s="3100" t="s">
        <v>295</v>
      </c>
      <c r="W19" s="3100" t="s">
        <v>145</v>
      </c>
      <c r="X19" s="3100" t="s">
        <v>6800</v>
      </c>
      <c r="Y19" s="3101" t="s">
        <v>119</v>
      </c>
    </row>
    <row r="20" spans="1:25" ht="24" hidden="1">
      <c r="A20" s="1304"/>
      <c r="B20" s="643">
        <v>1121</v>
      </c>
      <c r="C20" s="643" t="s">
        <v>209</v>
      </c>
      <c r="D20" s="3085">
        <v>2</v>
      </c>
      <c r="E20" s="3086" t="str">
        <f t="shared" si="0"/>
        <v>应收票据</v>
      </c>
      <c r="F20" s="3087" t="s">
        <v>210</v>
      </c>
      <c r="G20" s="3088">
        <f t="shared" si="1"/>
        <v>0</v>
      </c>
      <c r="H20" s="3089">
        <f t="shared" ca="1" si="4"/>
        <v>0</v>
      </c>
      <c r="I20" s="3091" t="s">
        <v>6803</v>
      </c>
      <c r="J20" s="3070"/>
      <c r="K20" s="3088">
        <f t="shared" si="3"/>
        <v>0</v>
      </c>
      <c r="L20" s="3069" t="s">
        <v>6799</v>
      </c>
      <c r="M20" s="3091" t="s">
        <v>6803</v>
      </c>
      <c r="N20" s="3070"/>
      <c r="O20" s="3097"/>
      <c r="P20" s="3098"/>
      <c r="Q20" s="3098"/>
      <c r="R20" s="3098"/>
      <c r="S20" s="3099" t="s">
        <v>295</v>
      </c>
      <c r="T20" s="3099" t="s">
        <v>213</v>
      </c>
      <c r="U20" s="3100"/>
      <c r="V20" s="3100" t="s">
        <v>295</v>
      </c>
      <c r="W20" s="3100" t="s">
        <v>145</v>
      </c>
      <c r="X20" s="3100" t="s">
        <v>6800</v>
      </c>
      <c r="Y20" s="3101" t="s">
        <v>119</v>
      </c>
    </row>
    <row r="21" spans="1:25" ht="24" hidden="1">
      <c r="A21" s="1304"/>
      <c r="B21" s="643">
        <v>1121</v>
      </c>
      <c r="C21" s="643" t="s">
        <v>219</v>
      </c>
      <c r="D21" s="3085">
        <v>2</v>
      </c>
      <c r="E21" s="3086" t="str">
        <f t="shared" si="0"/>
        <v>应收票据</v>
      </c>
      <c r="F21" s="3087" t="s">
        <v>220</v>
      </c>
      <c r="G21" s="3088">
        <f t="shared" si="1"/>
        <v>0</v>
      </c>
      <c r="H21" s="3089">
        <f t="shared" ca="1" si="4"/>
        <v>0</v>
      </c>
      <c r="I21" s="3091" t="s">
        <v>6803</v>
      </c>
      <c r="J21" s="3070"/>
      <c r="K21" s="3088">
        <f t="shared" si="3"/>
        <v>0</v>
      </c>
      <c r="L21" s="3069" t="s">
        <v>6799</v>
      </c>
      <c r="M21" s="3091" t="s">
        <v>6803</v>
      </c>
      <c r="N21" s="3070"/>
      <c r="O21" s="3097"/>
      <c r="P21" s="3098"/>
      <c r="Q21" s="3098"/>
      <c r="R21" s="3098"/>
      <c r="S21" s="3099" t="s">
        <v>295</v>
      </c>
      <c r="T21" s="3099" t="s">
        <v>213</v>
      </c>
      <c r="U21" s="3100"/>
      <c r="V21" s="3100" t="s">
        <v>295</v>
      </c>
      <c r="W21" s="3100" t="s">
        <v>145</v>
      </c>
      <c r="X21" s="3100" t="s">
        <v>6800</v>
      </c>
      <c r="Y21" s="3101" t="s">
        <v>119</v>
      </c>
    </row>
    <row r="22" spans="1:25" ht="24" hidden="1">
      <c r="A22" s="1304"/>
      <c r="B22" s="643">
        <v>1121</v>
      </c>
      <c r="C22" s="643" t="s">
        <v>6117</v>
      </c>
      <c r="D22" s="3085">
        <v>2</v>
      </c>
      <c r="E22" s="3086" t="str">
        <f t="shared" si="0"/>
        <v>应收票据</v>
      </c>
      <c r="F22" s="3087" t="s">
        <v>6118</v>
      </c>
      <c r="G22" s="3088">
        <f t="shared" si="1"/>
        <v>0</v>
      </c>
      <c r="H22" s="3089">
        <f t="shared" ca="1" si="4"/>
        <v>0</v>
      </c>
      <c r="I22" s="3091" t="s">
        <v>6803</v>
      </c>
      <c r="J22" s="3070"/>
      <c r="K22" s="3088">
        <f t="shared" si="3"/>
        <v>0</v>
      </c>
      <c r="L22" s="3069">
        <f ca="1">INDIRECT("Notes!CheckB"&amp;$C22)</f>
        <v>0</v>
      </c>
      <c r="M22" s="3091" t="s">
        <v>6803</v>
      </c>
      <c r="N22" s="3070"/>
      <c r="O22" s="3097"/>
      <c r="P22" s="3098"/>
      <c r="Q22" s="3098"/>
      <c r="R22" s="3098"/>
      <c r="S22" s="3099" t="s">
        <v>295</v>
      </c>
      <c r="T22" s="3099" t="s">
        <v>213</v>
      </c>
      <c r="U22" s="3100"/>
      <c r="V22" s="3100" t="s">
        <v>295</v>
      </c>
      <c r="W22" s="3100" t="s">
        <v>145</v>
      </c>
      <c r="X22" s="3100" t="s">
        <v>213</v>
      </c>
      <c r="Y22" s="3101" t="s">
        <v>119</v>
      </c>
    </row>
    <row r="23" spans="1:25" ht="24" hidden="1">
      <c r="A23" s="1304"/>
      <c r="B23" s="643">
        <v>1121</v>
      </c>
      <c r="C23" s="643" t="s">
        <v>227</v>
      </c>
      <c r="D23" s="3085">
        <v>2</v>
      </c>
      <c r="E23" s="3086" t="str">
        <f t="shared" si="0"/>
        <v>应收票据</v>
      </c>
      <c r="F23" s="3087" t="s">
        <v>228</v>
      </c>
      <c r="G23" s="3088">
        <f t="shared" si="1"/>
        <v>0</v>
      </c>
      <c r="H23" s="3089">
        <f t="shared" ca="1" si="4"/>
        <v>0</v>
      </c>
      <c r="I23" s="3091" t="s">
        <v>6803</v>
      </c>
      <c r="J23" s="3070"/>
      <c r="K23" s="3088">
        <f t="shared" si="3"/>
        <v>0</v>
      </c>
      <c r="L23" s="3069">
        <f ca="1">INDIRECT("Notes!CheckB"&amp;$C23)</f>
        <v>0</v>
      </c>
      <c r="M23" s="3091" t="s">
        <v>6803</v>
      </c>
      <c r="N23" s="3070"/>
      <c r="O23" s="3097"/>
      <c r="P23" s="3098"/>
      <c r="Q23" s="3098"/>
      <c r="R23" s="3098"/>
      <c r="S23" s="3099" t="s">
        <v>295</v>
      </c>
      <c r="T23" s="3099" t="s">
        <v>213</v>
      </c>
      <c r="U23" s="3100"/>
      <c r="V23" s="3100" t="s">
        <v>295</v>
      </c>
      <c r="W23" s="3100" t="s">
        <v>145</v>
      </c>
      <c r="X23" s="3100" t="s">
        <v>6800</v>
      </c>
      <c r="Y23" s="3101" t="s">
        <v>119</v>
      </c>
    </row>
    <row r="24" spans="1:25" ht="24" hidden="1">
      <c r="A24" s="1304"/>
      <c r="B24" s="643">
        <v>1121</v>
      </c>
      <c r="C24" s="643" t="s">
        <v>235</v>
      </c>
      <c r="D24" s="3085">
        <v>2</v>
      </c>
      <c r="E24" s="3086" t="str">
        <f t="shared" si="0"/>
        <v>应收票据</v>
      </c>
      <c r="F24" s="3087" t="s">
        <v>236</v>
      </c>
      <c r="G24" s="3088">
        <f t="shared" si="1"/>
        <v>0</v>
      </c>
      <c r="H24" s="3089">
        <f t="shared" ca="1" si="4"/>
        <v>0</v>
      </c>
      <c r="I24" s="3091" t="s">
        <v>6803</v>
      </c>
      <c r="J24" s="3070"/>
      <c r="K24" s="3088">
        <f t="shared" si="3"/>
        <v>0</v>
      </c>
      <c r="L24" s="3069" t="s">
        <v>6799</v>
      </c>
      <c r="M24" s="3091" t="s">
        <v>6803</v>
      </c>
      <c r="N24" s="3070"/>
      <c r="O24" s="3097"/>
      <c r="P24" s="3098"/>
      <c r="Q24" s="3098"/>
      <c r="R24" s="3098"/>
      <c r="S24" s="3099" t="s">
        <v>295</v>
      </c>
      <c r="T24" s="3099" t="s">
        <v>213</v>
      </c>
      <c r="U24" s="3100">
        <v>1121</v>
      </c>
      <c r="V24" s="3100" t="s">
        <v>295</v>
      </c>
      <c r="W24" s="3100" t="s">
        <v>6797</v>
      </c>
      <c r="X24" s="3100" t="s">
        <v>6800</v>
      </c>
      <c r="Y24" s="3101" t="s">
        <v>164</v>
      </c>
    </row>
    <row r="25" spans="1:25" ht="24" hidden="1">
      <c r="A25" s="1304"/>
      <c r="B25" s="643">
        <v>1121</v>
      </c>
      <c r="C25" s="643" t="s">
        <v>245</v>
      </c>
      <c r="D25" s="3085">
        <v>2</v>
      </c>
      <c r="E25" s="3086" t="str">
        <f t="shared" si="0"/>
        <v>应收票据</v>
      </c>
      <c r="F25" s="3087" t="s">
        <v>246</v>
      </c>
      <c r="G25" s="3088">
        <f t="shared" si="1"/>
        <v>0</v>
      </c>
      <c r="H25" s="3089">
        <f t="shared" ca="1" si="4"/>
        <v>0</v>
      </c>
      <c r="I25" s="3091" t="s">
        <v>6803</v>
      </c>
      <c r="J25" s="3070"/>
      <c r="K25" s="3088">
        <f t="shared" si="3"/>
        <v>0</v>
      </c>
      <c r="L25" s="3069" t="s">
        <v>6799</v>
      </c>
      <c r="M25" s="3091" t="s">
        <v>6803</v>
      </c>
      <c r="N25" s="3070"/>
      <c r="O25" s="3097"/>
      <c r="P25" s="3098"/>
      <c r="Q25" s="3098"/>
      <c r="R25" s="3098"/>
      <c r="S25" s="3099" t="s">
        <v>295</v>
      </c>
      <c r="T25" s="3099" t="s">
        <v>213</v>
      </c>
      <c r="U25" s="3100">
        <v>1121</v>
      </c>
      <c r="V25" s="3100" t="s">
        <v>295</v>
      </c>
      <c r="W25" s="3100" t="s">
        <v>6797</v>
      </c>
      <c r="X25" s="3100" t="s">
        <v>6800</v>
      </c>
      <c r="Y25" s="3101" t="s">
        <v>164</v>
      </c>
    </row>
    <row r="26" spans="1:25" ht="24" hidden="1">
      <c r="A26" s="1304"/>
      <c r="B26" s="643">
        <v>1121</v>
      </c>
      <c r="C26" s="643" t="s">
        <v>255</v>
      </c>
      <c r="D26" s="3085">
        <v>2</v>
      </c>
      <c r="E26" s="3086" t="str">
        <f t="shared" si="0"/>
        <v>应收票据</v>
      </c>
      <c r="F26" s="3087" t="s">
        <v>256</v>
      </c>
      <c r="G26" s="3088">
        <f t="shared" si="1"/>
        <v>0</v>
      </c>
      <c r="H26" s="3089">
        <f t="shared" ca="1" si="4"/>
        <v>0</v>
      </c>
      <c r="I26" s="3091" t="s">
        <v>6803</v>
      </c>
      <c r="J26" s="3070"/>
      <c r="K26" s="3088">
        <f t="shared" si="3"/>
        <v>0</v>
      </c>
      <c r="L26" s="3069" t="s">
        <v>6799</v>
      </c>
      <c r="M26" s="3091" t="s">
        <v>6803</v>
      </c>
      <c r="N26" s="3070"/>
      <c r="O26" s="3097"/>
      <c r="P26" s="3098"/>
      <c r="Q26" s="3098"/>
      <c r="R26" s="3098"/>
      <c r="S26" s="3099" t="s">
        <v>295</v>
      </c>
      <c r="T26" s="3099" t="s">
        <v>213</v>
      </c>
      <c r="U26" s="3100"/>
      <c r="V26" s="3100" t="s">
        <v>295</v>
      </c>
      <c r="W26" s="3100" t="s">
        <v>6797</v>
      </c>
      <c r="X26" s="3100" t="s">
        <v>6800</v>
      </c>
      <c r="Y26" s="3101" t="s">
        <v>164</v>
      </c>
    </row>
    <row r="27" spans="1:25" ht="18" hidden="1">
      <c r="A27" s="1304"/>
      <c r="B27" s="643">
        <v>1121</v>
      </c>
      <c r="C27" s="643" t="s">
        <v>5585</v>
      </c>
      <c r="D27" s="3085">
        <v>2</v>
      </c>
      <c r="E27" s="3086" t="str">
        <f t="shared" si="0"/>
        <v>应收票据</v>
      </c>
      <c r="F27" s="3087" t="s">
        <v>5586</v>
      </c>
      <c r="G27" s="3088">
        <f t="shared" si="1"/>
        <v>0</v>
      </c>
      <c r="H27" s="3089">
        <f t="shared" ca="1" si="4"/>
        <v>0</v>
      </c>
      <c r="I27" s="3091" t="s">
        <v>6803</v>
      </c>
      <c r="J27" s="3070"/>
      <c r="K27" s="3088">
        <f t="shared" si="3"/>
        <v>0</v>
      </c>
      <c r="L27" s="3069">
        <f ca="1">INDIRECT("Notes!CheckB"&amp;$C27)</f>
        <v>0</v>
      </c>
      <c r="M27" s="3091" t="s">
        <v>6803</v>
      </c>
      <c r="N27" s="3070"/>
      <c r="O27" s="3097"/>
      <c r="P27" s="3098"/>
      <c r="Q27" s="3098"/>
      <c r="R27" s="3098"/>
      <c r="S27" s="3099" t="s">
        <v>295</v>
      </c>
      <c r="T27" s="3099" t="s">
        <v>213</v>
      </c>
      <c r="U27" s="3100"/>
      <c r="V27" s="3100" t="s">
        <v>295</v>
      </c>
      <c r="W27" s="3100" t="s">
        <v>6797</v>
      </c>
      <c r="X27" s="3100" t="s">
        <v>213</v>
      </c>
      <c r="Y27" s="3101" t="s">
        <v>164</v>
      </c>
    </row>
    <row r="28" spans="1:25" ht="18">
      <c r="A28" s="1304"/>
      <c r="B28" s="643">
        <v>1122</v>
      </c>
      <c r="C28" s="643" t="s">
        <v>271</v>
      </c>
      <c r="D28" s="3085">
        <v>1</v>
      </c>
      <c r="E28" s="3086" t="str">
        <f t="shared" si="0"/>
        <v>应收账款</v>
      </c>
      <c r="F28" s="3087" t="s">
        <v>272</v>
      </c>
      <c r="G28" s="3088">
        <f t="shared" si="1"/>
        <v>0</v>
      </c>
      <c r="H28" s="3089">
        <f t="shared" ca="1" si="4"/>
        <v>0</v>
      </c>
      <c r="I28" s="3091">
        <f ca="1">IF(AND(LEN(G28)&gt;0,LEN(H28)&gt;0),ROUND(SUM(G28)-SUM(H28),2),"")</f>
        <v>0</v>
      </c>
      <c r="J28" s="3070" t="str">
        <f ca="1">IF(ISNA(I28),"N/A",IF(I28=0,"√","？"))</f>
        <v>√</v>
      </c>
      <c r="K28" s="3088">
        <f t="shared" si="3"/>
        <v>5191249.5199999996</v>
      </c>
      <c r="L28" s="3069">
        <f ca="1">INDIRECT("Notes!CheckB"&amp;$C28)</f>
        <v>0</v>
      </c>
      <c r="M28" s="3091">
        <f ca="1">IF(AND(LEN(K28)&gt;0,LEN(L28)&gt;0),ROUND(SUM(K28)-SUM(L28),2),"")</f>
        <v>5191249.5199999996</v>
      </c>
      <c r="N28" s="3070" t="str">
        <f ca="1">IF(ISNA(M28),"N/A",IF(M28=0,"√","？"))</f>
        <v>？</v>
      </c>
      <c r="O28" s="3097"/>
      <c r="P28" s="3098"/>
      <c r="Q28" s="3098"/>
      <c r="R28" s="3098"/>
      <c r="S28" s="3099" t="s">
        <v>295</v>
      </c>
      <c r="T28" s="3099" t="s">
        <v>213</v>
      </c>
      <c r="U28" s="3100">
        <v>1122</v>
      </c>
      <c r="V28" s="3100" t="s">
        <v>295</v>
      </c>
      <c r="W28" s="3100" t="s">
        <v>145</v>
      </c>
      <c r="X28" s="3100" t="s">
        <v>6800</v>
      </c>
      <c r="Y28" s="3101" t="s">
        <v>119</v>
      </c>
    </row>
    <row r="29" spans="1:25" ht="36" hidden="1">
      <c r="A29" s="1304"/>
      <c r="B29" s="643">
        <v>1122</v>
      </c>
      <c r="C29" s="643" t="s">
        <v>281</v>
      </c>
      <c r="D29" s="3085">
        <v>2</v>
      </c>
      <c r="E29" s="3086" t="str">
        <f t="shared" si="0"/>
        <v>应收账款</v>
      </c>
      <c r="F29" s="3087" t="s">
        <v>6422</v>
      </c>
      <c r="G29" s="3088">
        <f t="shared" si="1"/>
        <v>0</v>
      </c>
      <c r="H29" s="3089">
        <f t="shared" ca="1" si="4"/>
        <v>0</v>
      </c>
      <c r="I29" s="3091" t="s">
        <v>6803</v>
      </c>
      <c r="J29" s="3070"/>
      <c r="K29" s="3088">
        <f t="shared" si="3"/>
        <v>5191249.5199999996</v>
      </c>
      <c r="L29" s="3069" t="s">
        <v>6799</v>
      </c>
      <c r="M29" s="3091" t="s">
        <v>6803</v>
      </c>
      <c r="N29" s="3070"/>
      <c r="O29" s="3097"/>
      <c r="P29" s="3098"/>
      <c r="Q29" s="3098"/>
      <c r="R29" s="3098"/>
      <c r="S29" s="3099" t="s">
        <v>295</v>
      </c>
      <c r="T29" s="3099" t="s">
        <v>213</v>
      </c>
      <c r="U29" s="3100"/>
      <c r="V29" s="3100" t="s">
        <v>295</v>
      </c>
      <c r="W29" s="3100" t="s">
        <v>145</v>
      </c>
      <c r="X29" s="3100" t="s">
        <v>6800</v>
      </c>
      <c r="Y29" s="3101" t="s">
        <v>119</v>
      </c>
    </row>
    <row r="30" spans="1:25" ht="36" hidden="1">
      <c r="A30" s="1304"/>
      <c r="B30" s="643">
        <v>1122</v>
      </c>
      <c r="C30" s="643" t="s">
        <v>302</v>
      </c>
      <c r="D30" s="3085">
        <v>2</v>
      </c>
      <c r="E30" s="3086" t="str">
        <f t="shared" si="0"/>
        <v>应收账款</v>
      </c>
      <c r="F30" s="3087" t="s">
        <v>6423</v>
      </c>
      <c r="G30" s="3088">
        <f t="shared" si="1"/>
        <v>0</v>
      </c>
      <c r="H30" s="3089">
        <f t="shared" ca="1" si="4"/>
        <v>0</v>
      </c>
      <c r="I30" s="3091" t="s">
        <v>6803</v>
      </c>
      <c r="J30" s="3070"/>
      <c r="K30" s="3088">
        <f t="shared" si="3"/>
        <v>5191249.5199999996</v>
      </c>
      <c r="L30" s="3069" t="s">
        <v>6799</v>
      </c>
      <c r="M30" s="3091" t="s">
        <v>6803</v>
      </c>
      <c r="N30" s="3070"/>
      <c r="O30" s="3097"/>
      <c r="P30" s="3098"/>
      <c r="Q30" s="3098"/>
      <c r="R30" s="3098"/>
      <c r="S30" s="3099" t="s">
        <v>295</v>
      </c>
      <c r="T30" s="3099" t="s">
        <v>213</v>
      </c>
      <c r="U30" s="3100"/>
      <c r="V30" s="3100" t="s">
        <v>295</v>
      </c>
      <c r="W30" s="3100" t="s">
        <v>145</v>
      </c>
      <c r="X30" s="3100" t="s">
        <v>6800</v>
      </c>
      <c r="Y30" s="3101" t="s">
        <v>119</v>
      </c>
    </row>
    <row r="31" spans="1:25" ht="36" hidden="1">
      <c r="A31" s="1304"/>
      <c r="B31" s="643">
        <v>1122</v>
      </c>
      <c r="C31" s="643" t="s">
        <v>310</v>
      </c>
      <c r="D31" s="3085">
        <v>2</v>
      </c>
      <c r="E31" s="3086" t="str">
        <f t="shared" si="0"/>
        <v>应收账款</v>
      </c>
      <c r="F31" s="3087" t="s">
        <v>6424</v>
      </c>
      <c r="G31" s="3088">
        <f t="shared" si="1"/>
        <v>0</v>
      </c>
      <c r="H31" s="3089">
        <f t="shared" ca="1" si="4"/>
        <v>0</v>
      </c>
      <c r="I31" s="3091" t="s">
        <v>6803</v>
      </c>
      <c r="J31" s="3070"/>
      <c r="K31" s="3088">
        <f t="shared" si="3"/>
        <v>5191249.5199999996</v>
      </c>
      <c r="L31" s="3069" t="s">
        <v>6799</v>
      </c>
      <c r="M31" s="3091" t="s">
        <v>6803</v>
      </c>
      <c r="N31" s="3070"/>
      <c r="O31" s="3097"/>
      <c r="P31" s="3098"/>
      <c r="Q31" s="3098"/>
      <c r="R31" s="3098"/>
      <c r="S31" s="3099" t="s">
        <v>295</v>
      </c>
      <c r="T31" s="3099" t="s">
        <v>213</v>
      </c>
      <c r="U31" s="3100"/>
      <c r="V31" s="3100" t="s">
        <v>295</v>
      </c>
      <c r="W31" s="3100" t="s">
        <v>145</v>
      </c>
      <c r="X31" s="3100" t="s">
        <v>6800</v>
      </c>
      <c r="Y31" s="3101" t="s">
        <v>119</v>
      </c>
    </row>
    <row r="32" spans="1:25" ht="36" hidden="1">
      <c r="A32" s="1304"/>
      <c r="B32" s="643">
        <v>1122</v>
      </c>
      <c r="C32" s="643" t="s">
        <v>316</v>
      </c>
      <c r="D32" s="3085">
        <v>2</v>
      </c>
      <c r="E32" s="3086" t="str">
        <f t="shared" si="0"/>
        <v>应收账款</v>
      </c>
      <c r="F32" s="3087" t="s">
        <v>6425</v>
      </c>
      <c r="G32" s="3088">
        <f t="shared" si="1"/>
        <v>0</v>
      </c>
      <c r="H32" s="3089">
        <f t="shared" ca="1" si="4"/>
        <v>0</v>
      </c>
      <c r="I32" s="3091" t="s">
        <v>6803</v>
      </c>
      <c r="J32" s="3070"/>
      <c r="K32" s="3088">
        <f t="shared" si="3"/>
        <v>5191249.5199999996</v>
      </c>
      <c r="L32" s="3069" t="s">
        <v>6799</v>
      </c>
      <c r="M32" s="3091" t="s">
        <v>6803</v>
      </c>
      <c r="N32" s="3070"/>
      <c r="O32" s="3097"/>
      <c r="P32" s="3098"/>
      <c r="Q32" s="3098"/>
      <c r="R32" s="3098"/>
      <c r="S32" s="3099" t="s">
        <v>295</v>
      </c>
      <c r="T32" s="3099" t="s">
        <v>213</v>
      </c>
      <c r="U32" s="3100"/>
      <c r="V32" s="3100" t="s">
        <v>295</v>
      </c>
      <c r="W32" s="3100" t="s">
        <v>145</v>
      </c>
      <c r="X32" s="3100" t="s">
        <v>213</v>
      </c>
      <c r="Y32" s="3101" t="s">
        <v>119</v>
      </c>
    </row>
    <row r="33" spans="1:25" ht="36" hidden="1">
      <c r="A33" s="1304"/>
      <c r="B33" s="643">
        <v>1122</v>
      </c>
      <c r="C33" s="643">
        <v>112202</v>
      </c>
      <c r="D33" s="3085">
        <v>2</v>
      </c>
      <c r="E33" s="3086" t="str">
        <f t="shared" si="0"/>
        <v>应收账款</v>
      </c>
      <c r="F33" s="3087" t="s">
        <v>6426</v>
      </c>
      <c r="G33" s="3088">
        <f t="shared" si="1"/>
        <v>0</v>
      </c>
      <c r="H33" s="3089">
        <f t="shared" ca="1" si="4"/>
        <v>0</v>
      </c>
      <c r="I33" s="3091" t="s">
        <v>6803</v>
      </c>
      <c r="J33" s="3070"/>
      <c r="K33" s="3088">
        <f t="shared" si="3"/>
        <v>5191249.5199999996</v>
      </c>
      <c r="L33" s="3069" t="s">
        <v>6799</v>
      </c>
      <c r="M33" s="3091" t="s">
        <v>6803</v>
      </c>
      <c r="N33" s="3070"/>
      <c r="O33" s="3097"/>
      <c r="P33" s="3098"/>
      <c r="Q33" s="3098"/>
      <c r="R33" s="3098"/>
      <c r="S33" s="3099" t="s">
        <v>295</v>
      </c>
      <c r="T33" s="3099" t="s">
        <v>213</v>
      </c>
      <c r="U33" s="3100"/>
      <c r="V33" s="3100" t="s">
        <v>295</v>
      </c>
      <c r="W33" s="3100" t="s">
        <v>145</v>
      </c>
      <c r="X33" s="3100" t="s">
        <v>213</v>
      </c>
      <c r="Y33" s="3101" t="s">
        <v>119</v>
      </c>
    </row>
    <row r="34" spans="1:25" ht="36" hidden="1">
      <c r="A34" s="1304"/>
      <c r="B34" s="643">
        <v>1122</v>
      </c>
      <c r="C34" s="643" t="s">
        <v>292</v>
      </c>
      <c r="D34" s="3085">
        <v>2</v>
      </c>
      <c r="E34" s="3086" t="str">
        <f t="shared" si="0"/>
        <v>应收账款</v>
      </c>
      <c r="F34" s="3087" t="s">
        <v>6427</v>
      </c>
      <c r="G34" s="3088">
        <f t="shared" si="1"/>
        <v>0</v>
      </c>
      <c r="H34" s="3089" t="s">
        <v>6799</v>
      </c>
      <c r="I34" s="3091" t="s">
        <v>6803</v>
      </c>
      <c r="J34" s="3070"/>
      <c r="K34" s="3088">
        <f t="shared" si="3"/>
        <v>5191249.5199999996</v>
      </c>
      <c r="L34" s="3069">
        <f ca="1">INDIRECT("Notes!CheckB"&amp;$C34)</f>
        <v>0</v>
      </c>
      <c r="M34" s="3091" t="s">
        <v>6803</v>
      </c>
      <c r="N34" s="3070"/>
      <c r="O34" s="3097"/>
      <c r="P34" s="3098"/>
      <c r="Q34" s="3098"/>
      <c r="R34" s="3098"/>
      <c r="S34" s="3099" t="s">
        <v>295</v>
      </c>
      <c r="T34" s="3099" t="s">
        <v>213</v>
      </c>
      <c r="U34" s="3100"/>
      <c r="V34" s="3100" t="s">
        <v>295</v>
      </c>
      <c r="W34" s="3100" t="s">
        <v>145</v>
      </c>
      <c r="X34" s="3100" t="s">
        <v>6800</v>
      </c>
      <c r="Y34" s="3101" t="s">
        <v>119</v>
      </c>
    </row>
    <row r="35" spans="1:25" ht="48" hidden="1">
      <c r="A35" s="1304"/>
      <c r="B35" s="643">
        <v>1122</v>
      </c>
      <c r="C35" s="643" t="s">
        <v>5109</v>
      </c>
      <c r="D35" s="3085">
        <v>2</v>
      </c>
      <c r="E35" s="3086" t="str">
        <f t="shared" si="0"/>
        <v>应收账款</v>
      </c>
      <c r="F35" s="3087" t="s">
        <v>6428</v>
      </c>
      <c r="G35" s="3088">
        <f t="shared" si="1"/>
        <v>0</v>
      </c>
      <c r="H35" s="3089" t="s">
        <v>6799</v>
      </c>
      <c r="I35" s="3091" t="s">
        <v>6803</v>
      </c>
      <c r="J35" s="3070"/>
      <c r="K35" s="3088">
        <f t="shared" si="3"/>
        <v>5191249.5199999996</v>
      </c>
      <c r="L35" s="3069">
        <f ca="1">INDIRECT("Notes!CheckB"&amp;$C35)</f>
        <v>0</v>
      </c>
      <c r="M35" s="3091" t="s">
        <v>6803</v>
      </c>
      <c r="N35" s="3070"/>
      <c r="O35" s="3097"/>
      <c r="P35" s="3098"/>
      <c r="Q35" s="3098"/>
      <c r="R35" s="3098"/>
      <c r="S35" s="3099" t="s">
        <v>295</v>
      </c>
      <c r="T35" s="3099" t="s">
        <v>213</v>
      </c>
      <c r="U35" s="3100"/>
      <c r="V35" s="3100" t="s">
        <v>295</v>
      </c>
      <c r="W35" s="3100" t="s">
        <v>145</v>
      </c>
      <c r="X35" s="3100" t="s">
        <v>6800</v>
      </c>
      <c r="Y35" s="3101" t="s">
        <v>119</v>
      </c>
    </row>
    <row r="36" spans="1:25" ht="48" hidden="1">
      <c r="A36" s="1304"/>
      <c r="B36" s="643">
        <v>1122</v>
      </c>
      <c r="C36" s="643" t="s">
        <v>5110</v>
      </c>
      <c r="D36" s="3085">
        <v>2</v>
      </c>
      <c r="E36" s="3086" t="str">
        <f t="shared" si="0"/>
        <v>应收账款</v>
      </c>
      <c r="F36" s="3087" t="s">
        <v>6429</v>
      </c>
      <c r="G36" s="3088">
        <f t="shared" si="1"/>
        <v>0</v>
      </c>
      <c r="H36" s="3089" t="s">
        <v>6799</v>
      </c>
      <c r="I36" s="3091" t="s">
        <v>6803</v>
      </c>
      <c r="J36" s="3070"/>
      <c r="K36" s="3088">
        <f t="shared" si="3"/>
        <v>5191249.5199999996</v>
      </c>
      <c r="L36" s="3069">
        <f ca="1">INDIRECT("Notes!CheckB"&amp;$C36)</f>
        <v>0</v>
      </c>
      <c r="M36" s="3091" t="s">
        <v>6803</v>
      </c>
      <c r="N36" s="3070"/>
      <c r="O36" s="3097"/>
      <c r="P36" s="3098"/>
      <c r="Q36" s="3098"/>
      <c r="R36" s="3098"/>
      <c r="S36" s="3099" t="s">
        <v>295</v>
      </c>
      <c r="T36" s="3099" t="s">
        <v>213</v>
      </c>
      <c r="U36" s="3100"/>
      <c r="V36" s="3100" t="s">
        <v>295</v>
      </c>
      <c r="W36" s="3100" t="s">
        <v>145</v>
      </c>
      <c r="X36" s="3100" t="s">
        <v>6800</v>
      </c>
      <c r="Y36" s="3101" t="s">
        <v>119</v>
      </c>
    </row>
    <row r="37" spans="1:25" ht="24" hidden="1">
      <c r="A37" s="1304"/>
      <c r="B37" s="643">
        <v>1122</v>
      </c>
      <c r="C37" s="643" t="s">
        <v>335</v>
      </c>
      <c r="D37" s="3085">
        <v>2</v>
      </c>
      <c r="E37" s="3086" t="str">
        <f t="shared" si="0"/>
        <v>应收账款</v>
      </c>
      <c r="F37" s="3087" t="s">
        <v>336</v>
      </c>
      <c r="G37" s="3088">
        <f t="shared" si="1"/>
        <v>0</v>
      </c>
      <c r="H37" s="3089">
        <f t="shared" ref="H37:H68" ca="1" si="5">INDIRECT("Notes!CheckA"&amp;$C37)</f>
        <v>0</v>
      </c>
      <c r="I37" s="3091" t="s">
        <v>6803</v>
      </c>
      <c r="J37" s="3070"/>
      <c r="K37" s="3088">
        <f t="shared" si="3"/>
        <v>5191249.5199999996</v>
      </c>
      <c r="L37" s="3069">
        <f ca="1">INDIRECT("Notes!CheckB"&amp;$C37)</f>
        <v>0</v>
      </c>
      <c r="M37" s="3091" t="s">
        <v>6803</v>
      </c>
      <c r="N37" s="3070"/>
      <c r="O37" s="3097"/>
      <c r="P37" s="3098"/>
      <c r="Q37" s="3098"/>
      <c r="R37" s="3098"/>
      <c r="S37" s="3099" t="s">
        <v>295</v>
      </c>
      <c r="T37" s="3099" t="s">
        <v>213</v>
      </c>
      <c r="U37" s="3100"/>
      <c r="V37" s="3100" t="s">
        <v>295</v>
      </c>
      <c r="W37" s="3100" t="s">
        <v>145</v>
      </c>
      <c r="X37" s="3100" t="s">
        <v>6800</v>
      </c>
      <c r="Y37" s="3101" t="s">
        <v>119</v>
      </c>
    </row>
    <row r="38" spans="1:25" ht="24" hidden="1">
      <c r="A38" s="1304"/>
      <c r="B38" s="643">
        <v>1122</v>
      </c>
      <c r="C38" s="643" t="s">
        <v>342</v>
      </c>
      <c r="D38" s="3085">
        <v>2</v>
      </c>
      <c r="E38" s="3086" t="str">
        <f t="shared" si="0"/>
        <v>应收账款</v>
      </c>
      <c r="F38" s="3087" t="s">
        <v>343</v>
      </c>
      <c r="G38" s="3088">
        <f t="shared" si="1"/>
        <v>0</v>
      </c>
      <c r="H38" s="3089">
        <f t="shared" ca="1" si="5"/>
        <v>0</v>
      </c>
      <c r="I38" s="3091" t="s">
        <v>6803</v>
      </c>
      <c r="J38" s="3070"/>
      <c r="K38" s="3088">
        <f t="shared" si="3"/>
        <v>5191249.5199999996</v>
      </c>
      <c r="L38" s="3069" t="s">
        <v>6799</v>
      </c>
      <c r="M38" s="3091" t="s">
        <v>6803</v>
      </c>
      <c r="N38" s="3070"/>
      <c r="O38" s="3097"/>
      <c r="P38" s="3098"/>
      <c r="Q38" s="3098"/>
      <c r="R38" s="3098"/>
      <c r="S38" s="3099" t="s">
        <v>295</v>
      </c>
      <c r="T38" s="3099" t="s">
        <v>213</v>
      </c>
      <c r="U38" s="3100">
        <v>1122</v>
      </c>
      <c r="V38" s="3100" t="s">
        <v>295</v>
      </c>
      <c r="W38" s="3100" t="s">
        <v>6797</v>
      </c>
      <c r="X38" s="3100" t="s">
        <v>6800</v>
      </c>
      <c r="Y38" s="3101" t="s">
        <v>164</v>
      </c>
    </row>
    <row r="39" spans="1:25" ht="24" hidden="1">
      <c r="A39" s="1304"/>
      <c r="B39" s="643">
        <v>1122</v>
      </c>
      <c r="C39" s="643" t="s">
        <v>349</v>
      </c>
      <c r="D39" s="3085">
        <v>2</v>
      </c>
      <c r="E39" s="3086" t="str">
        <f t="shared" si="0"/>
        <v>应收账款</v>
      </c>
      <c r="F39" s="3087" t="s">
        <v>350</v>
      </c>
      <c r="G39" s="3088">
        <f t="shared" si="1"/>
        <v>0</v>
      </c>
      <c r="H39" s="3089">
        <f t="shared" ca="1" si="5"/>
        <v>0</v>
      </c>
      <c r="I39" s="3091" t="s">
        <v>6803</v>
      </c>
      <c r="J39" s="3070"/>
      <c r="K39" s="3088">
        <f t="shared" si="3"/>
        <v>5191249.5199999996</v>
      </c>
      <c r="L39" s="3069" t="s">
        <v>6799</v>
      </c>
      <c r="M39" s="3091" t="s">
        <v>6803</v>
      </c>
      <c r="N39" s="3070"/>
      <c r="O39" s="3097"/>
      <c r="P39" s="3098"/>
      <c r="Q39" s="3098"/>
      <c r="R39" s="3098"/>
      <c r="S39" s="3099" t="s">
        <v>295</v>
      </c>
      <c r="T39" s="3099" t="s">
        <v>213</v>
      </c>
      <c r="U39" s="3100">
        <v>1122</v>
      </c>
      <c r="V39" s="3100" t="s">
        <v>295</v>
      </c>
      <c r="W39" s="3100" t="s">
        <v>6797</v>
      </c>
      <c r="X39" s="3100" t="s">
        <v>6800</v>
      </c>
      <c r="Y39" s="3101" t="s">
        <v>164</v>
      </c>
    </row>
    <row r="40" spans="1:25" ht="24" hidden="1">
      <c r="A40" s="1304"/>
      <c r="B40" s="643">
        <v>1122</v>
      </c>
      <c r="C40" s="643" t="s">
        <v>357</v>
      </c>
      <c r="D40" s="3085">
        <v>2</v>
      </c>
      <c r="E40" s="3086" t="str">
        <f t="shared" si="0"/>
        <v>应收账款</v>
      </c>
      <c r="F40" s="3087" t="s">
        <v>358</v>
      </c>
      <c r="G40" s="3088">
        <f t="shared" si="1"/>
        <v>0</v>
      </c>
      <c r="H40" s="3089">
        <f t="shared" ca="1" si="5"/>
        <v>0</v>
      </c>
      <c r="I40" s="3091" t="s">
        <v>6803</v>
      </c>
      <c r="J40" s="3070"/>
      <c r="K40" s="3088">
        <f t="shared" si="3"/>
        <v>5191249.5199999996</v>
      </c>
      <c r="L40" s="3069" t="s">
        <v>6799</v>
      </c>
      <c r="M40" s="3091" t="s">
        <v>6803</v>
      </c>
      <c r="N40" s="3070"/>
      <c r="O40" s="3097"/>
      <c r="P40" s="3098"/>
      <c r="Q40" s="3098"/>
      <c r="R40" s="3098"/>
      <c r="S40" s="3099" t="s">
        <v>295</v>
      </c>
      <c r="T40" s="3099" t="s">
        <v>213</v>
      </c>
      <c r="U40" s="3100"/>
      <c r="V40" s="3100" t="s">
        <v>295</v>
      </c>
      <c r="W40" s="3100" t="s">
        <v>6797</v>
      </c>
      <c r="X40" s="3100" t="s">
        <v>6800</v>
      </c>
      <c r="Y40" s="3101" t="s">
        <v>164</v>
      </c>
    </row>
    <row r="41" spans="1:25" ht="36" hidden="1">
      <c r="A41" s="1304"/>
      <c r="B41" s="643">
        <v>1122</v>
      </c>
      <c r="C41" s="643" t="s">
        <v>365</v>
      </c>
      <c r="D41" s="3085">
        <v>2</v>
      </c>
      <c r="E41" s="3086" t="str">
        <f t="shared" si="0"/>
        <v>应收账款</v>
      </c>
      <c r="F41" s="3087" t="s">
        <v>366</v>
      </c>
      <c r="G41" s="3088">
        <f t="shared" si="1"/>
        <v>0</v>
      </c>
      <c r="H41" s="3089">
        <f t="shared" ca="1" si="5"/>
        <v>0</v>
      </c>
      <c r="I41" s="3091" t="s">
        <v>6803</v>
      </c>
      <c r="J41" s="3070"/>
      <c r="K41" s="3088">
        <f t="shared" ref="K41:K72" si="6">IF(ISERROR(VLOOKUP($B41,Sheet_Trialbal,10,0)),"        ----",VLOOKUP($B41,Sheet_Trialbal,10,0))</f>
        <v>5191249.5199999996</v>
      </c>
      <c r="L41" s="3069" t="s">
        <v>6799</v>
      </c>
      <c r="M41" s="3091" t="s">
        <v>6803</v>
      </c>
      <c r="N41" s="3070"/>
      <c r="O41" s="3097"/>
      <c r="P41" s="3098"/>
      <c r="Q41" s="3098"/>
      <c r="R41" s="3098"/>
      <c r="S41" s="3099" t="s">
        <v>295</v>
      </c>
      <c r="T41" s="3099" t="s">
        <v>213</v>
      </c>
      <c r="U41" s="3100">
        <v>1122</v>
      </c>
      <c r="V41" s="3100" t="s">
        <v>295</v>
      </c>
      <c r="W41" s="3100" t="s">
        <v>6797</v>
      </c>
      <c r="X41" s="3100" t="s">
        <v>6800</v>
      </c>
      <c r="Y41" s="3101" t="s">
        <v>164</v>
      </c>
    </row>
    <row r="42" spans="1:25" ht="24" hidden="1">
      <c r="A42" s="1304"/>
      <c r="B42" s="643">
        <v>1122</v>
      </c>
      <c r="C42" s="643" t="s">
        <v>372</v>
      </c>
      <c r="D42" s="3085">
        <v>2</v>
      </c>
      <c r="E42" s="3086" t="str">
        <f t="shared" si="0"/>
        <v>应收账款</v>
      </c>
      <c r="F42" s="3087" t="s">
        <v>373</v>
      </c>
      <c r="G42" s="3088">
        <f t="shared" si="1"/>
        <v>0</v>
      </c>
      <c r="H42" s="3089">
        <f t="shared" ca="1" si="5"/>
        <v>0</v>
      </c>
      <c r="I42" s="3091" t="s">
        <v>6803</v>
      </c>
      <c r="J42" s="3070"/>
      <c r="K42" s="3088">
        <f t="shared" si="6"/>
        <v>5191249.5199999996</v>
      </c>
      <c r="L42" s="3069" t="s">
        <v>6799</v>
      </c>
      <c r="M42" s="3091" t="s">
        <v>6803</v>
      </c>
      <c r="N42" s="3070"/>
      <c r="O42" s="3097"/>
      <c r="P42" s="3098"/>
      <c r="Q42" s="3098"/>
      <c r="R42" s="3098"/>
      <c r="S42" s="3099" t="s">
        <v>295</v>
      </c>
      <c r="T42" s="3099" t="s">
        <v>213</v>
      </c>
      <c r="U42" s="3100">
        <v>1122</v>
      </c>
      <c r="V42" s="3100" t="s">
        <v>295</v>
      </c>
      <c r="W42" s="3100" t="s">
        <v>6797</v>
      </c>
      <c r="X42" s="3100" t="s">
        <v>6800</v>
      </c>
      <c r="Y42" s="3101" t="s">
        <v>164</v>
      </c>
    </row>
    <row r="43" spans="1:25" ht="36" hidden="1">
      <c r="A43" s="1304"/>
      <c r="B43" s="643">
        <v>1122</v>
      </c>
      <c r="C43" s="643" t="s">
        <v>379</v>
      </c>
      <c r="D43" s="3085">
        <v>2</v>
      </c>
      <c r="E43" s="3086" t="str">
        <f t="shared" si="0"/>
        <v>应收账款</v>
      </c>
      <c r="F43" s="3087" t="s">
        <v>380</v>
      </c>
      <c r="G43" s="3088">
        <f t="shared" si="1"/>
        <v>0</v>
      </c>
      <c r="H43" s="3089">
        <f t="shared" ca="1" si="5"/>
        <v>0</v>
      </c>
      <c r="I43" s="3091" t="s">
        <v>6803</v>
      </c>
      <c r="J43" s="3070"/>
      <c r="K43" s="3088">
        <f t="shared" si="6"/>
        <v>5191249.5199999996</v>
      </c>
      <c r="L43" s="3069" t="s">
        <v>6799</v>
      </c>
      <c r="M43" s="3091" t="s">
        <v>6803</v>
      </c>
      <c r="N43" s="3070"/>
      <c r="O43" s="3097"/>
      <c r="P43" s="3098"/>
      <c r="Q43" s="3098"/>
      <c r="R43" s="3098"/>
      <c r="S43" s="3099" t="s">
        <v>295</v>
      </c>
      <c r="T43" s="3099" t="s">
        <v>213</v>
      </c>
      <c r="U43" s="3100">
        <v>1122</v>
      </c>
      <c r="V43" s="3100" t="s">
        <v>295</v>
      </c>
      <c r="W43" s="3100" t="s">
        <v>6797</v>
      </c>
      <c r="X43" s="3100" t="s">
        <v>6800</v>
      </c>
      <c r="Y43" s="3101" t="s">
        <v>164</v>
      </c>
    </row>
    <row r="44" spans="1:25" ht="18" hidden="1">
      <c r="A44" s="1304"/>
      <c r="B44" s="643">
        <v>1122</v>
      </c>
      <c r="C44" s="643" t="s">
        <v>419</v>
      </c>
      <c r="D44" s="3085">
        <v>2</v>
      </c>
      <c r="E44" s="3086" t="str">
        <f t="shared" si="0"/>
        <v>应收账款</v>
      </c>
      <c r="F44" s="3087" t="s">
        <v>420</v>
      </c>
      <c r="G44" s="3088">
        <f t="shared" si="1"/>
        <v>0</v>
      </c>
      <c r="H44" s="3089">
        <f t="shared" ca="1" si="5"/>
        <v>0</v>
      </c>
      <c r="I44" s="3091" t="s">
        <v>6803</v>
      </c>
      <c r="J44" s="3070"/>
      <c r="K44" s="3088">
        <f t="shared" si="6"/>
        <v>5191249.5199999996</v>
      </c>
      <c r="L44" s="3069" t="s">
        <v>6799</v>
      </c>
      <c r="M44" s="3091" t="s">
        <v>6803</v>
      </c>
      <c r="N44" s="3070"/>
      <c r="O44" s="3097"/>
      <c r="P44" s="3098"/>
      <c r="Q44" s="3098"/>
      <c r="R44" s="3098"/>
      <c r="S44" s="3099" t="s">
        <v>295</v>
      </c>
      <c r="T44" s="3099" t="s">
        <v>213</v>
      </c>
      <c r="U44" s="3100">
        <v>1122</v>
      </c>
      <c r="V44" s="3100" t="s">
        <v>295</v>
      </c>
      <c r="W44" s="3100" t="s">
        <v>6797</v>
      </c>
      <c r="X44" s="3100" t="s">
        <v>213</v>
      </c>
      <c r="Y44" s="3101" t="s">
        <v>164</v>
      </c>
    </row>
    <row r="45" spans="1:25" ht="24" hidden="1">
      <c r="A45" s="1304"/>
      <c r="B45" s="643">
        <v>1122</v>
      </c>
      <c r="C45" s="643" t="s">
        <v>425</v>
      </c>
      <c r="D45" s="3085">
        <v>2</v>
      </c>
      <c r="E45" s="3086" t="str">
        <f t="shared" si="0"/>
        <v>应收账款</v>
      </c>
      <c r="F45" s="3087" t="s">
        <v>426</v>
      </c>
      <c r="G45" s="3088">
        <f t="shared" si="1"/>
        <v>0</v>
      </c>
      <c r="H45" s="3089">
        <f t="shared" ca="1" si="5"/>
        <v>0</v>
      </c>
      <c r="I45" s="3091" t="s">
        <v>6803</v>
      </c>
      <c r="J45" s="3070"/>
      <c r="K45" s="3088">
        <f t="shared" si="6"/>
        <v>5191249.5199999996</v>
      </c>
      <c r="L45" s="3069">
        <f ca="1">INDIRECT("Notes!CheckB"&amp;$C45)</f>
        <v>0</v>
      </c>
      <c r="M45" s="3091" t="s">
        <v>6803</v>
      </c>
      <c r="N45" s="3070"/>
      <c r="O45" s="3097"/>
      <c r="P45" s="3098"/>
      <c r="Q45" s="3098"/>
      <c r="R45" s="3098"/>
      <c r="S45" s="3099" t="s">
        <v>295</v>
      </c>
      <c r="T45" s="3099" t="s">
        <v>213</v>
      </c>
      <c r="U45" s="3100">
        <v>1122</v>
      </c>
      <c r="V45" s="3100" t="s">
        <v>295</v>
      </c>
      <c r="W45" s="3100" t="s">
        <v>6797</v>
      </c>
      <c r="X45" s="3100" t="s">
        <v>213</v>
      </c>
      <c r="Y45" s="3101" t="s">
        <v>164</v>
      </c>
    </row>
    <row r="46" spans="1:25" ht="18" hidden="1">
      <c r="A46" s="1304"/>
      <c r="B46" s="643">
        <v>1122</v>
      </c>
      <c r="C46" s="643" t="s">
        <v>432</v>
      </c>
      <c r="D46" s="3085">
        <v>2</v>
      </c>
      <c r="E46" s="3086" t="str">
        <f t="shared" si="0"/>
        <v>应收账款</v>
      </c>
      <c r="F46" s="3087" t="s">
        <v>433</v>
      </c>
      <c r="G46" s="3088">
        <f t="shared" si="1"/>
        <v>0</v>
      </c>
      <c r="H46" s="3089">
        <f t="shared" ca="1" si="5"/>
        <v>0</v>
      </c>
      <c r="I46" s="3091" t="s">
        <v>6803</v>
      </c>
      <c r="J46" s="3070"/>
      <c r="K46" s="3088">
        <f t="shared" si="6"/>
        <v>5191249.5199999996</v>
      </c>
      <c r="L46" s="3069">
        <f ca="1">INDIRECT("Notes!CheckB"&amp;$C46)</f>
        <v>0</v>
      </c>
      <c r="M46" s="3091" t="s">
        <v>6803</v>
      </c>
      <c r="N46" s="3070"/>
      <c r="O46" s="3097"/>
      <c r="P46" s="3098"/>
      <c r="Q46" s="3098"/>
      <c r="R46" s="3098"/>
      <c r="S46" s="3099" t="s">
        <v>295</v>
      </c>
      <c r="T46" s="3099" t="s">
        <v>213</v>
      </c>
      <c r="U46" s="3100">
        <v>1122</v>
      </c>
      <c r="V46" s="3100" t="s">
        <v>295</v>
      </c>
      <c r="W46" s="3100" t="s">
        <v>6797</v>
      </c>
      <c r="X46" s="3100" t="s">
        <v>213</v>
      </c>
      <c r="Y46" s="3101" t="s">
        <v>164</v>
      </c>
    </row>
    <row r="47" spans="1:25" ht="18">
      <c r="A47" s="1304"/>
      <c r="B47" s="643">
        <v>1124</v>
      </c>
      <c r="C47" s="643" t="s">
        <v>446</v>
      </c>
      <c r="D47" s="3085">
        <v>1</v>
      </c>
      <c r="E47" s="3086" t="str">
        <f t="shared" si="0"/>
        <v>应收款项融资</v>
      </c>
      <c r="F47" s="3087" t="s">
        <v>447</v>
      </c>
      <c r="G47" s="3088">
        <f t="shared" si="1"/>
        <v>0</v>
      </c>
      <c r="H47" s="3089">
        <f t="shared" ca="1" si="5"/>
        <v>0</v>
      </c>
      <c r="I47" s="3091">
        <f ca="1">IF(AND(LEN(G47)&gt;0,LEN(H47)&gt;0),ROUND(SUM(G47)-SUM(H47),2),"")</f>
        <v>0</v>
      </c>
      <c r="J47" s="3070" t="str">
        <f ca="1">IF(ISNA(I47),"N/A",IF(I47=0,"√","？"))</f>
        <v>√</v>
      </c>
      <c r="K47" s="3088">
        <f t="shared" si="6"/>
        <v>0</v>
      </c>
      <c r="L47" s="3069">
        <f ca="1">INDIRECT("Notes!CheckB"&amp;$C47)</f>
        <v>0</v>
      </c>
      <c r="M47" s="3091">
        <f ca="1">IF(AND(LEN(K47)&gt;0,LEN(L47)&gt;0),ROUND(SUM(K47)-SUM(L47),2),"")</f>
        <v>0</v>
      </c>
      <c r="N47" s="3070" t="str">
        <f ca="1">IF(ISNA(M47),"N/A",IF(M47=0,"√","？"))</f>
        <v>√</v>
      </c>
      <c r="O47" s="3097"/>
      <c r="P47" s="3098"/>
      <c r="Q47" s="3098"/>
      <c r="R47" s="3098"/>
      <c r="S47" s="3099" t="s">
        <v>295</v>
      </c>
      <c r="T47" s="3099" t="s">
        <v>213</v>
      </c>
      <c r="U47" s="3100">
        <v>1124</v>
      </c>
      <c r="V47" s="3100" t="s">
        <v>295</v>
      </c>
      <c r="W47" s="3100" t="s">
        <v>145</v>
      </c>
      <c r="X47" s="3100" t="s">
        <v>6800</v>
      </c>
      <c r="Y47" s="3101" t="s">
        <v>119</v>
      </c>
    </row>
    <row r="48" spans="1:25" ht="36" hidden="1">
      <c r="A48" s="1304"/>
      <c r="B48" s="643">
        <v>1124</v>
      </c>
      <c r="C48" s="643" t="s">
        <v>453</v>
      </c>
      <c r="D48" s="3085">
        <v>2</v>
      </c>
      <c r="E48" s="3086" t="str">
        <f t="shared" si="0"/>
        <v>应收款项融资</v>
      </c>
      <c r="F48" s="3087" t="s">
        <v>6375</v>
      </c>
      <c r="G48" s="3088">
        <f t="shared" si="1"/>
        <v>0</v>
      </c>
      <c r="H48" s="3089">
        <f t="shared" ca="1" si="5"/>
        <v>0</v>
      </c>
      <c r="I48" s="3091" t="s">
        <v>6803</v>
      </c>
      <c r="J48" s="3070"/>
      <c r="K48" s="3088">
        <f t="shared" si="6"/>
        <v>0</v>
      </c>
      <c r="L48" s="3069" t="s">
        <v>6799</v>
      </c>
      <c r="M48" s="3091" t="s">
        <v>6803</v>
      </c>
      <c r="N48" s="3070"/>
      <c r="O48" s="3097"/>
      <c r="P48" s="3098"/>
      <c r="Q48" s="3098"/>
      <c r="R48" s="3098"/>
      <c r="S48" s="3099" t="s">
        <v>295</v>
      </c>
      <c r="T48" s="3099" t="s">
        <v>213</v>
      </c>
      <c r="U48" s="3100">
        <v>1124</v>
      </c>
      <c r="V48" s="3100" t="s">
        <v>295</v>
      </c>
      <c r="W48" s="3100" t="s">
        <v>145</v>
      </c>
      <c r="X48" s="3100" t="s">
        <v>6800</v>
      </c>
      <c r="Y48" s="3101" t="s">
        <v>119</v>
      </c>
    </row>
    <row r="49" spans="1:25" ht="36" hidden="1">
      <c r="A49" s="1304"/>
      <c r="B49" s="643">
        <v>1124</v>
      </c>
      <c r="C49" s="643" t="s">
        <v>456</v>
      </c>
      <c r="D49" s="3085">
        <v>2</v>
      </c>
      <c r="E49" s="3086" t="str">
        <f t="shared" si="0"/>
        <v>应收款项融资</v>
      </c>
      <c r="F49" s="3087" t="s">
        <v>6376</v>
      </c>
      <c r="G49" s="3088">
        <f t="shared" si="1"/>
        <v>0</v>
      </c>
      <c r="H49" s="3089">
        <f t="shared" ca="1" si="5"/>
        <v>0</v>
      </c>
      <c r="I49" s="3091" t="s">
        <v>6803</v>
      </c>
      <c r="J49" s="3070"/>
      <c r="K49" s="3088">
        <f t="shared" si="6"/>
        <v>0</v>
      </c>
      <c r="L49" s="3069" t="s">
        <v>6799</v>
      </c>
      <c r="M49" s="3091" t="s">
        <v>6803</v>
      </c>
      <c r="N49" s="3070"/>
      <c r="O49" s="3097"/>
      <c r="P49" s="3098"/>
      <c r="Q49" s="3098"/>
      <c r="R49" s="3098"/>
      <c r="S49" s="3099" t="s">
        <v>295</v>
      </c>
      <c r="T49" s="3099" t="s">
        <v>213</v>
      </c>
      <c r="U49" s="3100"/>
      <c r="V49" s="3100" t="s">
        <v>295</v>
      </c>
      <c r="W49" s="3100" t="s">
        <v>145</v>
      </c>
      <c r="X49" s="3100" t="s">
        <v>6800</v>
      </c>
      <c r="Y49" s="3101" t="s">
        <v>119</v>
      </c>
    </row>
    <row r="50" spans="1:25" ht="36" hidden="1">
      <c r="A50" s="1304"/>
      <c r="B50" s="643">
        <v>1124</v>
      </c>
      <c r="C50" s="643" t="s">
        <v>461</v>
      </c>
      <c r="D50" s="3085">
        <v>2</v>
      </c>
      <c r="E50" s="3086" t="str">
        <f t="shared" si="0"/>
        <v>应收款项融资</v>
      </c>
      <c r="F50" s="3087" t="s">
        <v>6377</v>
      </c>
      <c r="G50" s="3088">
        <f t="shared" si="1"/>
        <v>0</v>
      </c>
      <c r="H50" s="3089">
        <f t="shared" ca="1" si="5"/>
        <v>0</v>
      </c>
      <c r="I50" s="3091" t="s">
        <v>6803</v>
      </c>
      <c r="J50" s="3070"/>
      <c r="K50" s="3088">
        <f t="shared" si="6"/>
        <v>0</v>
      </c>
      <c r="L50" s="3069" t="s">
        <v>6799</v>
      </c>
      <c r="M50" s="3091" t="s">
        <v>6803</v>
      </c>
      <c r="N50" s="3070"/>
      <c r="O50" s="3097"/>
      <c r="P50" s="3098"/>
      <c r="Q50" s="3098"/>
      <c r="R50" s="3098"/>
      <c r="S50" s="3099" t="s">
        <v>295</v>
      </c>
      <c r="T50" s="3099" t="s">
        <v>213</v>
      </c>
      <c r="U50" s="3100"/>
      <c r="V50" s="3100" t="s">
        <v>295</v>
      </c>
      <c r="W50" s="3100" t="s">
        <v>145</v>
      </c>
      <c r="X50" s="3100" t="s">
        <v>6800</v>
      </c>
      <c r="Y50" s="3101" t="s">
        <v>119</v>
      </c>
    </row>
    <row r="51" spans="1:25" ht="36" hidden="1">
      <c r="A51" s="1304"/>
      <c r="B51" s="643">
        <v>1124</v>
      </c>
      <c r="C51" s="643" t="s">
        <v>466</v>
      </c>
      <c r="D51" s="3085">
        <v>2</v>
      </c>
      <c r="E51" s="3086" t="str">
        <f t="shared" si="0"/>
        <v>应收款项融资</v>
      </c>
      <c r="F51" s="3087" t="s">
        <v>6378</v>
      </c>
      <c r="G51" s="3088">
        <f t="shared" si="1"/>
        <v>0</v>
      </c>
      <c r="H51" s="3089">
        <f t="shared" ca="1" si="5"/>
        <v>0</v>
      </c>
      <c r="I51" s="3091" t="s">
        <v>6803</v>
      </c>
      <c r="J51" s="3070"/>
      <c r="K51" s="3088">
        <f t="shared" si="6"/>
        <v>0</v>
      </c>
      <c r="L51" s="3069">
        <f ca="1">INDIRECT("Notes!CheckB"&amp;$C51)</f>
        <v>0</v>
      </c>
      <c r="M51" s="3091" t="s">
        <v>6803</v>
      </c>
      <c r="N51" s="3070"/>
      <c r="O51" s="3097"/>
      <c r="P51" s="3098"/>
      <c r="Q51" s="3098"/>
      <c r="R51" s="3098"/>
      <c r="S51" s="3099" t="s">
        <v>295</v>
      </c>
      <c r="T51" s="3099" t="s">
        <v>213</v>
      </c>
      <c r="U51" s="3100"/>
      <c r="V51" s="3100" t="s">
        <v>295</v>
      </c>
      <c r="W51" s="3100" t="s">
        <v>145</v>
      </c>
      <c r="X51" s="3100" t="s">
        <v>213</v>
      </c>
      <c r="Y51" s="3101" t="s">
        <v>119</v>
      </c>
    </row>
    <row r="52" spans="1:25" ht="36" hidden="1">
      <c r="A52" s="1304"/>
      <c r="B52" s="643">
        <v>1124</v>
      </c>
      <c r="C52" s="643" t="s">
        <v>6371</v>
      </c>
      <c r="D52" s="3085">
        <v>2</v>
      </c>
      <c r="E52" s="3086" t="str">
        <f t="shared" si="0"/>
        <v>应收款项融资</v>
      </c>
      <c r="F52" s="3087" t="s">
        <v>6379</v>
      </c>
      <c r="G52" s="3088">
        <f t="shared" si="1"/>
        <v>0</v>
      </c>
      <c r="H52" s="3089">
        <f t="shared" ca="1" si="5"/>
        <v>0</v>
      </c>
      <c r="I52" s="3091" t="s">
        <v>6803</v>
      </c>
      <c r="J52" s="3070"/>
      <c r="K52" s="3088">
        <f t="shared" si="6"/>
        <v>0</v>
      </c>
      <c r="L52" s="3069" t="s">
        <v>6799</v>
      </c>
      <c r="M52" s="3091" t="s">
        <v>6803</v>
      </c>
      <c r="N52" s="3070"/>
      <c r="O52" s="3097"/>
      <c r="P52" s="3098"/>
      <c r="Q52" s="3098"/>
      <c r="R52" s="3098"/>
      <c r="S52" s="3099" t="s">
        <v>295</v>
      </c>
      <c r="T52" s="3099" t="s">
        <v>213</v>
      </c>
      <c r="U52" s="3100">
        <v>1124</v>
      </c>
      <c r="V52" s="3100" t="s">
        <v>295</v>
      </c>
      <c r="W52" s="3100" t="s">
        <v>145</v>
      </c>
      <c r="X52" s="3100" t="s">
        <v>6800</v>
      </c>
      <c r="Y52" s="3101" t="s">
        <v>119</v>
      </c>
    </row>
    <row r="53" spans="1:25" ht="36" hidden="1">
      <c r="A53" s="1304"/>
      <c r="B53" s="643">
        <v>1124</v>
      </c>
      <c r="C53" s="643" t="s">
        <v>6372</v>
      </c>
      <c r="D53" s="3085">
        <v>2</v>
      </c>
      <c r="E53" s="3086" t="str">
        <f t="shared" si="0"/>
        <v>应收款项融资</v>
      </c>
      <c r="F53" s="3087" t="s">
        <v>6380</v>
      </c>
      <c r="G53" s="3088">
        <f t="shared" si="1"/>
        <v>0</v>
      </c>
      <c r="H53" s="3089">
        <f t="shared" ca="1" si="5"/>
        <v>0</v>
      </c>
      <c r="I53" s="3091" t="s">
        <v>6803</v>
      </c>
      <c r="J53" s="3070"/>
      <c r="K53" s="3088">
        <f t="shared" si="6"/>
        <v>0</v>
      </c>
      <c r="L53" s="3069" t="s">
        <v>6799</v>
      </c>
      <c r="M53" s="3091" t="s">
        <v>6803</v>
      </c>
      <c r="N53" s="3070"/>
      <c r="O53" s="3097"/>
      <c r="P53" s="3098"/>
      <c r="Q53" s="3098"/>
      <c r="R53" s="3098"/>
      <c r="S53" s="3099" t="s">
        <v>295</v>
      </c>
      <c r="T53" s="3099" t="s">
        <v>213</v>
      </c>
      <c r="U53" s="3100"/>
      <c r="V53" s="3100" t="s">
        <v>295</v>
      </c>
      <c r="W53" s="3100" t="s">
        <v>145</v>
      </c>
      <c r="X53" s="3100" t="s">
        <v>6800</v>
      </c>
      <c r="Y53" s="3101" t="s">
        <v>119</v>
      </c>
    </row>
    <row r="54" spans="1:25" ht="36" hidden="1">
      <c r="A54" s="1304"/>
      <c r="B54" s="643">
        <v>1124</v>
      </c>
      <c r="C54" s="643" t="s">
        <v>6373</v>
      </c>
      <c r="D54" s="3085">
        <v>2</v>
      </c>
      <c r="E54" s="3086" t="str">
        <f t="shared" si="0"/>
        <v>应收款项融资</v>
      </c>
      <c r="F54" s="3087" t="s">
        <v>6381</v>
      </c>
      <c r="G54" s="3088">
        <f t="shared" si="1"/>
        <v>0</v>
      </c>
      <c r="H54" s="3089">
        <f t="shared" ca="1" si="5"/>
        <v>0</v>
      </c>
      <c r="I54" s="3091" t="s">
        <v>6803</v>
      </c>
      <c r="J54" s="3070"/>
      <c r="K54" s="3088">
        <f t="shared" si="6"/>
        <v>0</v>
      </c>
      <c r="L54" s="3069" t="s">
        <v>6799</v>
      </c>
      <c r="M54" s="3091" t="s">
        <v>6803</v>
      </c>
      <c r="N54" s="3070"/>
      <c r="O54" s="3097"/>
      <c r="P54" s="3098"/>
      <c r="Q54" s="3098"/>
      <c r="R54" s="3098"/>
      <c r="S54" s="3099" t="s">
        <v>295</v>
      </c>
      <c r="T54" s="3099" t="s">
        <v>213</v>
      </c>
      <c r="U54" s="3100"/>
      <c r="V54" s="3100" t="s">
        <v>295</v>
      </c>
      <c r="W54" s="3100" t="s">
        <v>145</v>
      </c>
      <c r="X54" s="3100" t="s">
        <v>6800</v>
      </c>
      <c r="Y54" s="3101" t="s">
        <v>119</v>
      </c>
    </row>
    <row r="55" spans="1:25" ht="36" hidden="1">
      <c r="A55" s="1304"/>
      <c r="B55" s="643">
        <v>1124</v>
      </c>
      <c r="C55" s="643" t="s">
        <v>6374</v>
      </c>
      <c r="D55" s="3085">
        <v>2</v>
      </c>
      <c r="E55" s="3086" t="str">
        <f t="shared" si="0"/>
        <v>应收款项融资</v>
      </c>
      <c r="F55" s="3087" t="s">
        <v>6382</v>
      </c>
      <c r="G55" s="3088">
        <f t="shared" si="1"/>
        <v>0</v>
      </c>
      <c r="H55" s="3089">
        <f t="shared" ca="1" si="5"/>
        <v>0</v>
      </c>
      <c r="I55" s="3091" t="s">
        <v>6803</v>
      </c>
      <c r="J55" s="3070"/>
      <c r="K55" s="3088">
        <f t="shared" si="6"/>
        <v>0</v>
      </c>
      <c r="L55" s="3069" t="s">
        <v>6799</v>
      </c>
      <c r="M55" s="3091" t="s">
        <v>6803</v>
      </c>
      <c r="N55" s="3070"/>
      <c r="O55" s="3097"/>
      <c r="P55" s="3098"/>
      <c r="Q55" s="3098"/>
      <c r="R55" s="3098"/>
      <c r="S55" s="3099" t="s">
        <v>295</v>
      </c>
      <c r="T55" s="3099" t="s">
        <v>213</v>
      </c>
      <c r="U55" s="3100"/>
      <c r="V55" s="3100" t="s">
        <v>295</v>
      </c>
      <c r="W55" s="3100" t="s">
        <v>145</v>
      </c>
      <c r="X55" s="3100" t="s">
        <v>213</v>
      </c>
      <c r="Y55" s="3101" t="s">
        <v>119</v>
      </c>
    </row>
    <row r="56" spans="1:25" ht="24" hidden="1">
      <c r="A56" s="1304"/>
      <c r="B56" s="643">
        <v>1124</v>
      </c>
      <c r="C56" s="643" t="s">
        <v>470</v>
      </c>
      <c r="D56" s="3085">
        <v>2</v>
      </c>
      <c r="E56" s="3086" t="str">
        <f t="shared" si="0"/>
        <v>应收款项融资</v>
      </c>
      <c r="F56" s="3087" t="s">
        <v>6383</v>
      </c>
      <c r="G56" s="3088">
        <f t="shared" si="1"/>
        <v>0</v>
      </c>
      <c r="H56" s="3089">
        <f t="shared" ca="1" si="5"/>
        <v>0</v>
      </c>
      <c r="I56" s="3091" t="s">
        <v>6803</v>
      </c>
      <c r="J56" s="3070"/>
      <c r="K56" s="3088">
        <f t="shared" si="6"/>
        <v>0</v>
      </c>
      <c r="L56" s="3069">
        <f ca="1">INDIRECT("Notes!CheckB"&amp;$C56)</f>
        <v>0</v>
      </c>
      <c r="M56" s="3091" t="s">
        <v>6803</v>
      </c>
      <c r="N56" s="3070"/>
      <c r="O56" s="3097"/>
      <c r="P56" s="3098"/>
      <c r="Q56" s="3098"/>
      <c r="R56" s="3098"/>
      <c r="S56" s="3099" t="s">
        <v>295</v>
      </c>
      <c r="T56" s="3099" t="s">
        <v>213</v>
      </c>
      <c r="U56" s="3100"/>
      <c r="V56" s="3100" t="s">
        <v>295</v>
      </c>
      <c r="W56" s="3100" t="s">
        <v>145</v>
      </c>
      <c r="X56" s="3100" t="s">
        <v>6800</v>
      </c>
      <c r="Y56" s="3101" t="s">
        <v>119</v>
      </c>
    </row>
    <row r="57" spans="1:25" ht="18">
      <c r="A57" s="1304"/>
      <c r="B57" s="643">
        <v>1125</v>
      </c>
      <c r="C57" s="643" t="s">
        <v>473</v>
      </c>
      <c r="D57" s="3085">
        <v>1</v>
      </c>
      <c r="E57" s="3086" t="str">
        <f t="shared" si="0"/>
        <v>预付款项</v>
      </c>
      <c r="F57" s="3087" t="s">
        <v>474</v>
      </c>
      <c r="G57" s="3088">
        <f t="shared" si="1"/>
        <v>0</v>
      </c>
      <c r="H57" s="3089">
        <f t="shared" ca="1" si="5"/>
        <v>0</v>
      </c>
      <c r="I57" s="3091">
        <f ca="1">IF(AND(LEN(G57)&gt;0,LEN(H57)&gt;0),ROUND(SUM(G57)-SUM(H57),2),"")</f>
        <v>0</v>
      </c>
      <c r="J57" s="3070" t="str">
        <f ca="1">IF(ISNA(I57),"N/A",IF(I57=0,"√","？"))</f>
        <v>√</v>
      </c>
      <c r="K57" s="3088">
        <f t="shared" si="6"/>
        <v>0</v>
      </c>
      <c r="L57" s="3069">
        <f ca="1">INDIRECT("Notes!CheckB"&amp;$C57)</f>
        <v>0</v>
      </c>
      <c r="M57" s="3091">
        <f ca="1">IF(AND(LEN(K57)&gt;0,LEN(L57)&gt;0),ROUND(SUM(K57)-SUM(L57),2),"")</f>
        <v>0</v>
      </c>
      <c r="N57" s="3070" t="str">
        <f ca="1">IF(ISNA(M57),"N/A",IF(M57=0,"√","？"))</f>
        <v>√</v>
      </c>
      <c r="O57" s="3097"/>
      <c r="P57" s="3098"/>
      <c r="Q57" s="3098"/>
      <c r="R57" s="3098"/>
      <c r="S57" s="3099" t="s">
        <v>295</v>
      </c>
      <c r="T57" s="3099" t="s">
        <v>213</v>
      </c>
      <c r="U57" s="3100"/>
      <c r="V57" s="3100" t="s">
        <v>295</v>
      </c>
      <c r="W57" s="3100" t="s">
        <v>6797</v>
      </c>
      <c r="X57" s="3100" t="s">
        <v>6798</v>
      </c>
      <c r="Y57" s="3101" t="s">
        <v>164</v>
      </c>
    </row>
    <row r="58" spans="1:25" ht="36" hidden="1">
      <c r="A58" s="1304"/>
      <c r="B58" s="643">
        <v>1125</v>
      </c>
      <c r="C58" s="643" t="s">
        <v>478</v>
      </c>
      <c r="D58" s="3085">
        <v>2</v>
      </c>
      <c r="E58" s="3086" t="str">
        <f t="shared" si="0"/>
        <v>预付款项</v>
      </c>
      <c r="F58" s="3087" t="s">
        <v>479</v>
      </c>
      <c r="G58" s="3088">
        <f t="shared" si="1"/>
        <v>0</v>
      </c>
      <c r="H58" s="3089">
        <f t="shared" ca="1" si="5"/>
        <v>0</v>
      </c>
      <c r="I58" s="3091" t="s">
        <v>6803</v>
      </c>
      <c r="J58" s="3070"/>
      <c r="K58" s="3088">
        <f t="shared" si="6"/>
        <v>0</v>
      </c>
      <c r="L58" s="3069" t="s">
        <v>6799</v>
      </c>
      <c r="M58" s="3091" t="s">
        <v>6803</v>
      </c>
      <c r="N58" s="3070"/>
      <c r="O58" s="3097"/>
      <c r="P58" s="3098"/>
      <c r="Q58" s="3098"/>
      <c r="R58" s="3098"/>
      <c r="S58" s="3099" t="s">
        <v>295</v>
      </c>
      <c r="T58" s="3099" t="s">
        <v>213</v>
      </c>
      <c r="U58" s="3100"/>
      <c r="V58" s="3100" t="s">
        <v>295</v>
      </c>
      <c r="W58" s="3100" t="s">
        <v>6797</v>
      </c>
      <c r="X58" s="3100" t="s">
        <v>6800</v>
      </c>
      <c r="Y58" s="3101" t="s">
        <v>164</v>
      </c>
    </row>
    <row r="59" spans="1:25" ht="24" hidden="1">
      <c r="A59" s="1304"/>
      <c r="B59" s="643">
        <v>1125</v>
      </c>
      <c r="C59" s="643" t="s">
        <v>482</v>
      </c>
      <c r="D59" s="3085">
        <v>2</v>
      </c>
      <c r="E59" s="3086" t="str">
        <f t="shared" si="0"/>
        <v>预付款项</v>
      </c>
      <c r="F59" s="3087" t="s">
        <v>483</v>
      </c>
      <c r="G59" s="3088">
        <f t="shared" si="1"/>
        <v>0</v>
      </c>
      <c r="H59" s="3089">
        <f t="shared" ca="1" si="5"/>
        <v>0</v>
      </c>
      <c r="I59" s="3091" t="s">
        <v>6803</v>
      </c>
      <c r="J59" s="3070"/>
      <c r="K59" s="3088">
        <f t="shared" si="6"/>
        <v>0</v>
      </c>
      <c r="L59" s="3069" t="s">
        <v>6799</v>
      </c>
      <c r="M59" s="3091" t="s">
        <v>6803</v>
      </c>
      <c r="N59" s="3070"/>
      <c r="O59" s="3097"/>
      <c r="P59" s="3098"/>
      <c r="Q59" s="3098"/>
      <c r="R59" s="3098"/>
      <c r="S59" s="3099" t="s">
        <v>295</v>
      </c>
      <c r="T59" s="3099" t="s">
        <v>213</v>
      </c>
      <c r="U59" s="3100"/>
      <c r="V59" s="3100" t="s">
        <v>295</v>
      </c>
      <c r="W59" s="3100" t="s">
        <v>6797</v>
      </c>
      <c r="X59" s="3100" t="s">
        <v>213</v>
      </c>
      <c r="Y59" s="3101" t="s">
        <v>164</v>
      </c>
    </row>
    <row r="60" spans="1:25" ht="18">
      <c r="A60" s="1304"/>
      <c r="B60" s="643">
        <v>1125</v>
      </c>
      <c r="C60" s="643" t="s">
        <v>497</v>
      </c>
      <c r="D60" s="3085">
        <v>1</v>
      </c>
      <c r="E60" s="3086" t="str">
        <f t="shared" si="0"/>
        <v>预付款项</v>
      </c>
      <c r="F60" s="3087" t="s">
        <v>498</v>
      </c>
      <c r="G60" s="3088">
        <f t="shared" si="1"/>
        <v>0</v>
      </c>
      <c r="H60" s="3089">
        <f t="shared" ca="1" si="5"/>
        <v>0</v>
      </c>
      <c r="I60" s="3091">
        <f ca="1">IF(AND(LEN(G60)&gt;0,LEN(H60)&gt;0),ROUND(SUM(G60)-SUM(H60),2),"")</f>
        <v>0</v>
      </c>
      <c r="J60" s="3070" t="str">
        <f ca="1">IF(ISNA(I60),"N/A",IF(I60=0,"√","？"))</f>
        <v>√</v>
      </c>
      <c r="K60" s="3088">
        <f t="shared" si="6"/>
        <v>0</v>
      </c>
      <c r="L60" s="3069">
        <f ca="1">INDIRECT("Notes!CheckB"&amp;$C60)</f>
        <v>0</v>
      </c>
      <c r="M60" s="3091">
        <f ca="1">IF(AND(LEN(K60)&gt;0,LEN(L60)&gt;0),ROUND(SUM(K60)-SUM(L60),2),"")</f>
        <v>0</v>
      </c>
      <c r="N60" s="3070" t="str">
        <f ca="1">IF(ISNA(M60),"N/A",IF(M60=0,"√","？"))</f>
        <v>√</v>
      </c>
      <c r="O60" s="3097"/>
      <c r="P60" s="3098"/>
      <c r="Q60" s="3098"/>
      <c r="R60" s="3098"/>
      <c r="S60" s="3099" t="s">
        <v>295</v>
      </c>
      <c r="T60" s="3099" t="s">
        <v>213</v>
      </c>
      <c r="U60" s="3100"/>
      <c r="V60" s="3100" t="s">
        <v>295</v>
      </c>
      <c r="W60" s="3100" t="s">
        <v>6797</v>
      </c>
      <c r="X60" s="3100" t="s">
        <v>213</v>
      </c>
      <c r="Y60" s="3101" t="s">
        <v>164</v>
      </c>
    </row>
    <row r="61" spans="1:25" ht="24" hidden="1">
      <c r="A61" s="1304"/>
      <c r="B61" s="643">
        <v>1125</v>
      </c>
      <c r="C61" s="643" t="s">
        <v>492</v>
      </c>
      <c r="D61" s="3085">
        <v>2</v>
      </c>
      <c r="E61" s="3086" t="str">
        <f t="shared" si="0"/>
        <v>预付款项</v>
      </c>
      <c r="F61" s="3087" t="s">
        <v>493</v>
      </c>
      <c r="G61" s="3088">
        <f t="shared" si="1"/>
        <v>0</v>
      </c>
      <c r="H61" s="3089">
        <f t="shared" ca="1" si="5"/>
        <v>0</v>
      </c>
      <c r="I61" s="3091" t="s">
        <v>6803</v>
      </c>
      <c r="J61" s="3070"/>
      <c r="K61" s="3088">
        <f t="shared" si="6"/>
        <v>0</v>
      </c>
      <c r="L61" s="3069">
        <f ca="1">INDIRECT("Notes!CheckB"&amp;$C61)</f>
        <v>0</v>
      </c>
      <c r="M61" s="3091" t="s">
        <v>6803</v>
      </c>
      <c r="N61" s="3070"/>
      <c r="O61" s="3097"/>
      <c r="P61" s="3098"/>
      <c r="Q61" s="3098"/>
      <c r="R61" s="3098"/>
      <c r="S61" s="3099" t="s">
        <v>295</v>
      </c>
      <c r="T61" s="3099" t="s">
        <v>213</v>
      </c>
      <c r="U61" s="3100"/>
      <c r="V61" s="3100" t="s">
        <v>295</v>
      </c>
      <c r="W61" s="3100" t="s">
        <v>6797</v>
      </c>
      <c r="X61" s="3100" t="s">
        <v>213</v>
      </c>
      <c r="Y61" s="3101" t="s">
        <v>164</v>
      </c>
    </row>
    <row r="62" spans="1:25" ht="18" hidden="1">
      <c r="A62" s="1304"/>
      <c r="B62" s="643">
        <v>1125</v>
      </c>
      <c r="C62" s="643" t="s">
        <v>505</v>
      </c>
      <c r="D62" s="3085">
        <v>2</v>
      </c>
      <c r="E62" s="3086" t="str">
        <f t="shared" si="0"/>
        <v>预付款项</v>
      </c>
      <c r="F62" s="3087" t="s">
        <v>506</v>
      </c>
      <c r="G62" s="3088">
        <f t="shared" si="1"/>
        <v>0</v>
      </c>
      <c r="H62" s="3089">
        <f t="shared" ca="1" si="5"/>
        <v>0</v>
      </c>
      <c r="I62" s="3091" t="s">
        <v>6803</v>
      </c>
      <c r="J62" s="3070"/>
      <c r="K62" s="3088">
        <f t="shared" si="6"/>
        <v>0</v>
      </c>
      <c r="L62" s="3069">
        <f ca="1">INDIRECT("Notes!CheckB"&amp;$C62)</f>
        <v>0</v>
      </c>
      <c r="M62" s="3091" t="s">
        <v>6803</v>
      </c>
      <c r="N62" s="3070"/>
      <c r="O62" s="3097"/>
      <c r="P62" s="3098"/>
      <c r="Q62" s="3098"/>
      <c r="R62" s="3098"/>
      <c r="S62" s="3099" t="s">
        <v>295</v>
      </c>
      <c r="T62" s="3099" t="s">
        <v>213</v>
      </c>
      <c r="U62" s="3100"/>
      <c r="V62" s="3100" t="s">
        <v>295</v>
      </c>
      <c r="W62" s="3100" t="s">
        <v>6797</v>
      </c>
      <c r="X62" s="3100" t="s">
        <v>213</v>
      </c>
      <c r="Y62" s="3101" t="s">
        <v>164</v>
      </c>
    </row>
    <row r="63" spans="1:25" ht="24">
      <c r="A63" s="1304"/>
      <c r="B63" s="643">
        <v>1220</v>
      </c>
      <c r="C63" s="643" t="s">
        <v>510</v>
      </c>
      <c r="D63" s="3085">
        <v>1</v>
      </c>
      <c r="E63" s="3086" t="str">
        <f t="shared" si="0"/>
        <v>其他应收款（报表项目）</v>
      </c>
      <c r="F63" s="3087" t="s">
        <v>511</v>
      </c>
      <c r="G63" s="3088">
        <f t="shared" si="1"/>
        <v>0</v>
      </c>
      <c r="H63" s="3089">
        <f t="shared" ca="1" si="5"/>
        <v>0</v>
      </c>
      <c r="I63" s="3091">
        <f ca="1">IF(AND(LEN(G63)&gt;0,LEN(H63)&gt;0),ROUND(SUM(G63)-SUM(H63),2),"")</f>
        <v>0</v>
      </c>
      <c r="J63" s="3070" t="str">
        <f ca="1">IF(ISNA(I63),"N/A",IF(I63=0,"√","？"))</f>
        <v>√</v>
      </c>
      <c r="K63" s="3088">
        <f t="shared" si="6"/>
        <v>70022.3</v>
      </c>
      <c r="L63" s="3069">
        <f ca="1">INDIRECT("Notes!CheckB"&amp;$C63)</f>
        <v>0</v>
      </c>
      <c r="M63" s="3091">
        <f ca="1">IF(AND(LEN(K63)&gt;0,LEN(L63)&gt;0),ROUND(SUM(K63)-SUM(L63),2),"")</f>
        <v>70022.3</v>
      </c>
      <c r="N63" s="3070" t="str">
        <f ca="1">IF(ISNA(M63),"N/A",IF(M63=0,"√","？"))</f>
        <v>？</v>
      </c>
      <c r="O63" s="3097"/>
      <c r="P63" s="3098"/>
      <c r="Q63" s="3098"/>
      <c r="R63" s="3098"/>
      <c r="S63" s="3099" t="s">
        <v>295</v>
      </c>
      <c r="T63" s="3099" t="s">
        <v>213</v>
      </c>
      <c r="U63" s="3100">
        <v>1220</v>
      </c>
      <c r="V63" s="3100" t="s">
        <v>295</v>
      </c>
      <c r="W63" s="3100" t="s">
        <v>6797</v>
      </c>
      <c r="X63" s="3100" t="s">
        <v>6798</v>
      </c>
      <c r="Y63" s="3101" t="s">
        <v>164</v>
      </c>
    </row>
    <row r="64" spans="1:25" ht="18">
      <c r="A64" s="1304"/>
      <c r="B64" s="643">
        <v>1132</v>
      </c>
      <c r="C64" s="643" t="s">
        <v>516</v>
      </c>
      <c r="D64" s="3085">
        <v>1</v>
      </c>
      <c r="E64" s="3086" t="str">
        <f t="shared" si="0"/>
        <v>应收利息</v>
      </c>
      <c r="F64" s="3087" t="s">
        <v>517</v>
      </c>
      <c r="G64" s="3088">
        <f t="shared" si="1"/>
        <v>0</v>
      </c>
      <c r="H64" s="3089">
        <f t="shared" ca="1" si="5"/>
        <v>0</v>
      </c>
      <c r="I64" s="3091">
        <f ca="1">IF(AND(LEN(G64)&gt;0,LEN(H64)&gt;0),ROUND(SUM(G64)-SUM(H64),2),"")</f>
        <v>0</v>
      </c>
      <c r="J64" s="3070" t="str">
        <f ca="1">IF(ISNA(I64),"N/A",IF(I64=0,"√","？"))</f>
        <v>√</v>
      </c>
      <c r="K64" s="3088">
        <f t="shared" si="6"/>
        <v>0</v>
      </c>
      <c r="L64" s="3069">
        <f ca="1">INDIRECT("Notes!CheckB"&amp;$C64)</f>
        <v>0</v>
      </c>
      <c r="M64" s="3091">
        <f ca="1">IF(AND(LEN(K64)&gt;0,LEN(L64)&gt;0),ROUND(SUM(K64)-SUM(L64),2),"")</f>
        <v>0</v>
      </c>
      <c r="N64" s="3070" t="str">
        <f ca="1">IF(ISNA(M64),"N/A",IF(M64=0,"√","？"))</f>
        <v>√</v>
      </c>
      <c r="O64" s="3097"/>
      <c r="P64" s="3098"/>
      <c r="Q64" s="3098"/>
      <c r="R64" s="3098"/>
      <c r="S64" s="3099" t="s">
        <v>295</v>
      </c>
      <c r="T64" s="3099" t="s">
        <v>213</v>
      </c>
      <c r="U64" s="3100"/>
      <c r="V64" s="3100" t="s">
        <v>295</v>
      </c>
      <c r="W64" s="3100" t="s">
        <v>6797</v>
      </c>
      <c r="X64" s="3100" t="s">
        <v>6798</v>
      </c>
      <c r="Y64" s="3101" t="s">
        <v>164</v>
      </c>
    </row>
    <row r="65" spans="1:25" ht="24" hidden="1">
      <c r="A65" s="1304"/>
      <c r="B65" s="643">
        <v>1132</v>
      </c>
      <c r="C65" s="643" t="s">
        <v>522</v>
      </c>
      <c r="D65" s="3085">
        <v>2</v>
      </c>
      <c r="E65" s="3086" t="str">
        <f t="shared" si="0"/>
        <v>应收利息</v>
      </c>
      <c r="F65" s="3087" t="s">
        <v>523</v>
      </c>
      <c r="G65" s="3088">
        <f t="shared" si="1"/>
        <v>0</v>
      </c>
      <c r="H65" s="3089">
        <f t="shared" ca="1" si="5"/>
        <v>0</v>
      </c>
      <c r="I65" s="3091" t="s">
        <v>6803</v>
      </c>
      <c r="J65" s="3070"/>
      <c r="K65" s="3088">
        <f t="shared" si="6"/>
        <v>0</v>
      </c>
      <c r="L65" s="3069" t="s">
        <v>6799</v>
      </c>
      <c r="M65" s="3091" t="s">
        <v>6803</v>
      </c>
      <c r="N65" s="3070"/>
      <c r="O65" s="3097"/>
      <c r="P65" s="3098"/>
      <c r="Q65" s="3098"/>
      <c r="R65" s="3098"/>
      <c r="S65" s="3099" t="s">
        <v>295</v>
      </c>
      <c r="T65" s="3099" t="s">
        <v>213</v>
      </c>
      <c r="U65" s="3100"/>
      <c r="V65" s="3100" t="s">
        <v>295</v>
      </c>
      <c r="W65" s="3100" t="s">
        <v>6797</v>
      </c>
      <c r="X65" s="3100" t="s">
        <v>6798</v>
      </c>
      <c r="Y65" s="3101" t="s">
        <v>164</v>
      </c>
    </row>
    <row r="66" spans="1:25" ht="18">
      <c r="A66" s="1304"/>
      <c r="B66" s="643">
        <v>1131</v>
      </c>
      <c r="C66" s="643" t="s">
        <v>526</v>
      </c>
      <c r="D66" s="3085">
        <v>1</v>
      </c>
      <c r="E66" s="3086" t="str">
        <f t="shared" si="0"/>
        <v>应收股利</v>
      </c>
      <c r="F66" s="3087" t="s">
        <v>527</v>
      </c>
      <c r="G66" s="3088">
        <f t="shared" si="1"/>
        <v>0</v>
      </c>
      <c r="H66" s="3089">
        <f t="shared" ca="1" si="5"/>
        <v>0</v>
      </c>
      <c r="I66" s="3091">
        <f ca="1">IF(AND(LEN(G66)&gt;0,LEN(H66)&gt;0),ROUND(SUM(G66)-SUM(H66),2),"")</f>
        <v>0</v>
      </c>
      <c r="J66" s="3070" t="str">
        <f ca="1">IF(ISNA(I66),"N/A",IF(I66=0,"√","？"))</f>
        <v>√</v>
      </c>
      <c r="K66" s="3088">
        <f t="shared" si="6"/>
        <v>0</v>
      </c>
      <c r="L66" s="3069">
        <f ca="1">INDIRECT("Notes!CheckB"&amp;$C66)</f>
        <v>0</v>
      </c>
      <c r="M66" s="3091">
        <f ca="1">IF(AND(LEN(K66)&gt;0,LEN(L66)&gt;0),ROUND(SUM(K66)-SUM(L66),2),"")</f>
        <v>0</v>
      </c>
      <c r="N66" s="3070" t="str">
        <f ca="1">IF(ISNA(M66),"N/A",IF(M66=0,"√","？"))</f>
        <v>√</v>
      </c>
      <c r="O66" s="3097"/>
      <c r="P66" s="3098"/>
      <c r="Q66" s="3098"/>
      <c r="R66" s="3098"/>
      <c r="S66" s="3099" t="s">
        <v>295</v>
      </c>
      <c r="T66" s="3099" t="s">
        <v>213</v>
      </c>
      <c r="U66" s="3100"/>
      <c r="V66" s="3100" t="s">
        <v>295</v>
      </c>
      <c r="W66" s="3100" t="s">
        <v>6797</v>
      </c>
      <c r="X66" s="3100" t="s">
        <v>6798</v>
      </c>
      <c r="Y66" s="3101" t="s">
        <v>164</v>
      </c>
    </row>
    <row r="67" spans="1:25" ht="24" hidden="1">
      <c r="A67" s="1304"/>
      <c r="B67" s="643">
        <v>1131</v>
      </c>
      <c r="C67" s="643" t="s">
        <v>532</v>
      </c>
      <c r="D67" s="3085">
        <v>2</v>
      </c>
      <c r="E67" s="3086" t="str">
        <f t="shared" si="0"/>
        <v>应收股利</v>
      </c>
      <c r="F67" s="3087" t="s">
        <v>533</v>
      </c>
      <c r="G67" s="3088">
        <f t="shared" si="1"/>
        <v>0</v>
      </c>
      <c r="H67" s="3089">
        <f t="shared" ca="1" si="5"/>
        <v>0</v>
      </c>
      <c r="I67" s="3091" t="s">
        <v>6803</v>
      </c>
      <c r="J67" s="3070"/>
      <c r="K67" s="3088">
        <f t="shared" si="6"/>
        <v>0</v>
      </c>
      <c r="L67" s="3069" t="s">
        <v>6799</v>
      </c>
      <c r="M67" s="3091" t="s">
        <v>6803</v>
      </c>
      <c r="N67" s="3070"/>
      <c r="O67" s="3097"/>
      <c r="P67" s="3098"/>
      <c r="Q67" s="3098"/>
      <c r="R67" s="3098"/>
      <c r="S67" s="3099" t="s">
        <v>295</v>
      </c>
      <c r="T67" s="3099" t="s">
        <v>213</v>
      </c>
      <c r="U67" s="3100"/>
      <c r="V67" s="3100" t="s">
        <v>295</v>
      </c>
      <c r="W67" s="3100" t="s">
        <v>6797</v>
      </c>
      <c r="X67" s="3100" t="s">
        <v>6798</v>
      </c>
      <c r="Y67" s="3101" t="s">
        <v>164</v>
      </c>
    </row>
    <row r="68" spans="1:25" ht="18">
      <c r="A68" s="1304"/>
      <c r="B68" s="643">
        <v>1221</v>
      </c>
      <c r="C68" s="643" t="s">
        <v>538</v>
      </c>
      <c r="D68" s="3085">
        <v>1</v>
      </c>
      <c r="E68" s="3086" t="str">
        <f t="shared" si="0"/>
        <v>其他应收款</v>
      </c>
      <c r="F68" s="3087" t="s">
        <v>539</v>
      </c>
      <c r="G68" s="3088">
        <f t="shared" si="1"/>
        <v>0</v>
      </c>
      <c r="H68" s="3089">
        <f t="shared" ca="1" si="5"/>
        <v>0</v>
      </c>
      <c r="I68" s="3091">
        <f ca="1">IF(AND(LEN(G68)&gt;0,LEN(H68)&gt;0),ROUND(SUM(G68)-SUM(H68),2),"")</f>
        <v>0</v>
      </c>
      <c r="J68" s="3070" t="str">
        <f ca="1">IF(ISNA(I68),"N/A",IF(I68=0,"√","？"))</f>
        <v>√</v>
      </c>
      <c r="K68" s="3088">
        <f t="shared" si="6"/>
        <v>70022.3</v>
      </c>
      <c r="L68" s="3069">
        <f ca="1">INDIRECT("Notes!CheckB"&amp;$C68)</f>
        <v>0</v>
      </c>
      <c r="M68" s="3091">
        <f ca="1">IF(AND(LEN(K68)&gt;0,LEN(L68)&gt;0),ROUND(SUM(K68)-SUM(L68),2),"")</f>
        <v>70022.3</v>
      </c>
      <c r="N68" s="3070" t="str">
        <f ca="1">IF(ISNA(M68),"N/A",IF(M68=0,"√","？"))</f>
        <v>？</v>
      </c>
      <c r="O68" s="3097"/>
      <c r="P68" s="3098"/>
      <c r="Q68" s="3098"/>
      <c r="R68" s="3098"/>
      <c r="S68" s="3099" t="s">
        <v>295</v>
      </c>
      <c r="T68" s="3099" t="s">
        <v>213</v>
      </c>
      <c r="U68" s="3100"/>
      <c r="V68" s="3100" t="s">
        <v>295</v>
      </c>
      <c r="W68" s="3100" t="s">
        <v>145</v>
      </c>
      <c r="X68" s="3100" t="s">
        <v>6800</v>
      </c>
      <c r="Y68" s="3101" t="s">
        <v>164</v>
      </c>
    </row>
    <row r="69" spans="1:25" ht="24">
      <c r="A69" s="1304"/>
      <c r="B69" s="643">
        <v>1221</v>
      </c>
      <c r="C69" s="643" t="s">
        <v>544</v>
      </c>
      <c r="D69" s="3085">
        <v>1</v>
      </c>
      <c r="E69" s="3086" t="str">
        <f t="shared" si="0"/>
        <v>其他应收款</v>
      </c>
      <c r="F69" s="3087" t="s">
        <v>545</v>
      </c>
      <c r="G69" s="3088">
        <f t="shared" si="1"/>
        <v>0</v>
      </c>
      <c r="H69" s="3089">
        <f t="shared" ref="H69:H85" ca="1" si="7">INDIRECT("Notes!CheckA"&amp;$C69)</f>
        <v>0</v>
      </c>
      <c r="I69" s="3091">
        <f ca="1">IF(AND(LEN(G69)&gt;0,LEN(H69)&gt;0),ROUND(SUM(G69)-SUM(H69),2),"")</f>
        <v>0</v>
      </c>
      <c r="J69" s="3070" t="str">
        <f ca="1">IF(ISNA(I69),"N/A",IF(I69=0,"√","？"))</f>
        <v>√</v>
      </c>
      <c r="K69" s="3088">
        <f t="shared" si="6"/>
        <v>70022.3</v>
      </c>
      <c r="L69" s="3069">
        <f ca="1">INDIRECT("Notes!CheckB"&amp;$C69)</f>
        <v>0</v>
      </c>
      <c r="M69" s="3091">
        <f ca="1">IF(AND(LEN(K69)&gt;0,LEN(L69)&gt;0),ROUND(SUM(K69)-SUM(L69),2),"")</f>
        <v>70022.3</v>
      </c>
      <c r="N69" s="3070" t="str">
        <f ca="1">IF(ISNA(M69),"N/A",IF(M69=0,"√","？"))</f>
        <v>？</v>
      </c>
      <c r="O69" s="3097"/>
      <c r="P69" s="3098"/>
      <c r="Q69" s="3098"/>
      <c r="R69" s="3098"/>
      <c r="S69" s="3099" t="s">
        <v>295</v>
      </c>
      <c r="T69" s="3099" t="s">
        <v>213</v>
      </c>
      <c r="U69" s="3100"/>
      <c r="V69" s="3100" t="s">
        <v>295</v>
      </c>
      <c r="W69" s="3100" t="s">
        <v>6797</v>
      </c>
      <c r="X69" s="3100" t="s">
        <v>6798</v>
      </c>
      <c r="Y69" s="3101" t="s">
        <v>164</v>
      </c>
    </row>
    <row r="70" spans="1:25" ht="36" hidden="1">
      <c r="A70" s="1304"/>
      <c r="B70" s="643">
        <v>1221</v>
      </c>
      <c r="C70" s="643">
        <v>122100</v>
      </c>
      <c r="D70" s="3085">
        <v>2</v>
      </c>
      <c r="E70" s="3086" t="str">
        <f t="shared" si="0"/>
        <v>其他应收款</v>
      </c>
      <c r="F70" s="3087" t="s">
        <v>5909</v>
      </c>
      <c r="G70" s="3088">
        <f t="shared" si="1"/>
        <v>0</v>
      </c>
      <c r="H70" s="3089">
        <f t="shared" ca="1" si="7"/>
        <v>0</v>
      </c>
      <c r="I70" s="3091" t="s">
        <v>6803</v>
      </c>
      <c r="J70" s="3070"/>
      <c r="K70" s="3088">
        <f t="shared" si="6"/>
        <v>70022.3</v>
      </c>
      <c r="L70" s="3069" t="s">
        <v>6799</v>
      </c>
      <c r="M70" s="3091" t="s">
        <v>6803</v>
      </c>
      <c r="N70" s="3070"/>
      <c r="O70" s="3097"/>
      <c r="P70" s="3098"/>
      <c r="Q70" s="3098"/>
      <c r="R70" s="3098"/>
      <c r="S70" s="3099" t="s">
        <v>295</v>
      </c>
      <c r="T70" s="3099" t="s">
        <v>213</v>
      </c>
      <c r="U70" s="3100"/>
      <c r="V70" s="3100" t="s">
        <v>295</v>
      </c>
      <c r="W70" s="3100" t="s">
        <v>145</v>
      </c>
      <c r="X70" s="3100" t="s">
        <v>6800</v>
      </c>
      <c r="Y70" s="3101" t="s">
        <v>119</v>
      </c>
    </row>
    <row r="71" spans="1:25" ht="36" hidden="1">
      <c r="A71" s="1304"/>
      <c r="B71" s="643">
        <v>1221</v>
      </c>
      <c r="C71" s="643">
        <v>122101</v>
      </c>
      <c r="D71" s="3085">
        <v>2</v>
      </c>
      <c r="E71" s="3086" t="str">
        <f t="shared" si="0"/>
        <v>其他应收款</v>
      </c>
      <c r="F71" s="3087" t="s">
        <v>6432</v>
      </c>
      <c r="G71" s="3088">
        <f t="shared" si="1"/>
        <v>0</v>
      </c>
      <c r="H71" s="3089">
        <f t="shared" ca="1" si="7"/>
        <v>0</v>
      </c>
      <c r="I71" s="3091" t="s">
        <v>6803</v>
      </c>
      <c r="J71" s="3070"/>
      <c r="K71" s="3088">
        <f t="shared" si="6"/>
        <v>70022.3</v>
      </c>
      <c r="L71" s="3069" t="s">
        <v>6799</v>
      </c>
      <c r="M71" s="3091" t="s">
        <v>6803</v>
      </c>
      <c r="N71" s="3070"/>
      <c r="O71" s="3097"/>
      <c r="P71" s="3098"/>
      <c r="Q71" s="3098"/>
      <c r="R71" s="3098"/>
      <c r="S71" s="3099" t="s">
        <v>295</v>
      </c>
      <c r="T71" s="3099" t="s">
        <v>213</v>
      </c>
      <c r="U71" s="3100">
        <v>122100</v>
      </c>
      <c r="V71" s="3100" t="s">
        <v>295</v>
      </c>
      <c r="W71" s="3100" t="s">
        <v>145</v>
      </c>
      <c r="X71" s="3100" t="s">
        <v>6800</v>
      </c>
      <c r="Y71" s="3101" t="s">
        <v>119</v>
      </c>
    </row>
    <row r="72" spans="1:25" ht="36" hidden="1">
      <c r="A72" s="1304"/>
      <c r="B72" s="643">
        <v>1221</v>
      </c>
      <c r="C72" s="643">
        <v>122111</v>
      </c>
      <c r="D72" s="3085">
        <v>2</v>
      </c>
      <c r="E72" s="3086" t="str">
        <f t="shared" si="0"/>
        <v>其他应收款</v>
      </c>
      <c r="F72" s="3087" t="s">
        <v>5922</v>
      </c>
      <c r="G72" s="3088">
        <f t="shared" si="1"/>
        <v>0</v>
      </c>
      <c r="H72" s="3089">
        <f t="shared" ca="1" si="7"/>
        <v>0</v>
      </c>
      <c r="I72" s="3091" t="s">
        <v>6803</v>
      </c>
      <c r="J72" s="3070"/>
      <c r="K72" s="3088">
        <f t="shared" si="6"/>
        <v>70022.3</v>
      </c>
      <c r="L72" s="3069">
        <f ca="1">INDIRECT("Notes!CheckB"&amp;$C72)</f>
        <v>0</v>
      </c>
      <c r="M72" s="3091" t="s">
        <v>6803</v>
      </c>
      <c r="N72" s="3070"/>
      <c r="O72" s="3097"/>
      <c r="P72" s="3098"/>
      <c r="Q72" s="3098"/>
      <c r="R72" s="3098"/>
      <c r="S72" s="3099" t="s">
        <v>295</v>
      </c>
      <c r="T72" s="3099" t="s">
        <v>213</v>
      </c>
      <c r="U72" s="3100">
        <v>122101</v>
      </c>
      <c r="V72" s="3100" t="s">
        <v>295</v>
      </c>
      <c r="W72" s="3100" t="s">
        <v>145</v>
      </c>
      <c r="X72" s="3100" t="s">
        <v>6800</v>
      </c>
      <c r="Y72" s="3101" t="s">
        <v>119</v>
      </c>
    </row>
    <row r="73" spans="1:25" ht="36" hidden="1">
      <c r="A73" s="1304"/>
      <c r="B73" s="643">
        <v>1221</v>
      </c>
      <c r="C73" s="643">
        <v>122112</v>
      </c>
      <c r="D73" s="3085">
        <v>2</v>
      </c>
      <c r="E73" s="3086" t="str">
        <f t="shared" ref="E73:E136" si="8">IF(ISERROR(VLOOKUP($B73,Sheet_Items,2,0)),"        ----",VLOOKUP($B73,Sheet_Items,2,0))</f>
        <v>其他应收款</v>
      </c>
      <c r="F73" s="3087" t="s">
        <v>5910</v>
      </c>
      <c r="G73" s="3088">
        <f t="shared" ref="G73:G136" si="9">IF(ISERROR(VLOOKUP($B73,Sheet_Trialbal,6,0)),"        ----",VLOOKUP($B73,Sheet_Trialbal,6,0))</f>
        <v>0</v>
      </c>
      <c r="H73" s="3089">
        <f t="shared" ca="1" si="7"/>
        <v>0</v>
      </c>
      <c r="I73" s="3091" t="s">
        <v>6803</v>
      </c>
      <c r="J73" s="3070"/>
      <c r="K73" s="3088">
        <f t="shared" ref="K73:K104" si="10">IF(ISERROR(VLOOKUP($B73,Sheet_Trialbal,10,0)),"        ----",VLOOKUP($B73,Sheet_Trialbal,10,0))</f>
        <v>70022.3</v>
      </c>
      <c r="L73" s="3069" t="s">
        <v>6799</v>
      </c>
      <c r="M73" s="3091" t="s">
        <v>6803</v>
      </c>
      <c r="N73" s="3070"/>
      <c r="O73" s="3097"/>
      <c r="P73" s="3098"/>
      <c r="Q73" s="3098"/>
      <c r="R73" s="3098"/>
      <c r="S73" s="3099" t="s">
        <v>295</v>
      </c>
      <c r="T73" s="3099" t="s">
        <v>213</v>
      </c>
      <c r="U73" s="3100">
        <v>122101</v>
      </c>
      <c r="V73" s="3100" t="s">
        <v>295</v>
      </c>
      <c r="W73" s="3100" t="s">
        <v>145</v>
      </c>
      <c r="X73" s="3100" t="s">
        <v>6800</v>
      </c>
      <c r="Y73" s="3101" t="s">
        <v>119</v>
      </c>
    </row>
    <row r="74" spans="1:25" ht="36" hidden="1">
      <c r="A74" s="1304"/>
      <c r="B74" s="643">
        <v>1221</v>
      </c>
      <c r="C74" s="643">
        <v>122113</v>
      </c>
      <c r="D74" s="3085">
        <v>2</v>
      </c>
      <c r="E74" s="3086" t="str">
        <f t="shared" si="8"/>
        <v>其他应收款</v>
      </c>
      <c r="F74" s="3087" t="s">
        <v>5921</v>
      </c>
      <c r="G74" s="3088">
        <f t="shared" si="9"/>
        <v>0</v>
      </c>
      <c r="H74" s="3089">
        <f t="shared" ca="1" si="7"/>
        <v>0</v>
      </c>
      <c r="I74" s="3091" t="s">
        <v>6803</v>
      </c>
      <c r="J74" s="3070"/>
      <c r="K74" s="3088">
        <f t="shared" si="10"/>
        <v>70022.3</v>
      </c>
      <c r="L74" s="3069" t="s">
        <v>6799</v>
      </c>
      <c r="M74" s="3091" t="s">
        <v>6803</v>
      </c>
      <c r="N74" s="3070"/>
      <c r="O74" s="3097"/>
      <c r="P74" s="3098"/>
      <c r="Q74" s="3098"/>
      <c r="R74" s="3098"/>
      <c r="S74" s="3099" t="s">
        <v>295</v>
      </c>
      <c r="T74" s="3099" t="s">
        <v>213</v>
      </c>
      <c r="U74" s="3100">
        <v>122101</v>
      </c>
      <c r="V74" s="3100" t="s">
        <v>295</v>
      </c>
      <c r="W74" s="3100" t="s">
        <v>145</v>
      </c>
      <c r="X74" s="3100" t="s">
        <v>213</v>
      </c>
      <c r="Y74" s="3101" t="s">
        <v>119</v>
      </c>
    </row>
    <row r="75" spans="1:25" ht="36" hidden="1">
      <c r="A75" s="1304"/>
      <c r="B75" s="643">
        <v>1221</v>
      </c>
      <c r="C75" s="643">
        <v>122114</v>
      </c>
      <c r="D75" s="3085">
        <v>2</v>
      </c>
      <c r="E75" s="3086" t="str">
        <f t="shared" si="8"/>
        <v>其他应收款</v>
      </c>
      <c r="F75" s="3087" t="s">
        <v>5920</v>
      </c>
      <c r="G75" s="3088">
        <f t="shared" si="9"/>
        <v>0</v>
      </c>
      <c r="H75" s="3089">
        <f t="shared" ca="1" si="7"/>
        <v>0</v>
      </c>
      <c r="I75" s="3091" t="s">
        <v>6803</v>
      </c>
      <c r="J75" s="3070"/>
      <c r="K75" s="3088">
        <f t="shared" si="10"/>
        <v>70022.3</v>
      </c>
      <c r="L75" s="3069" t="s">
        <v>6799</v>
      </c>
      <c r="M75" s="3091" t="s">
        <v>6803</v>
      </c>
      <c r="N75" s="3070"/>
      <c r="O75" s="3097"/>
      <c r="P75" s="3098"/>
      <c r="Q75" s="3098"/>
      <c r="R75" s="3098"/>
      <c r="S75" s="3099" t="s">
        <v>295</v>
      </c>
      <c r="T75" s="3099" t="s">
        <v>213</v>
      </c>
      <c r="U75" s="3100">
        <v>122101</v>
      </c>
      <c r="V75" s="3100" t="s">
        <v>295</v>
      </c>
      <c r="W75" s="3100" t="s">
        <v>145</v>
      </c>
      <c r="X75" s="3100" t="s">
        <v>213</v>
      </c>
      <c r="Y75" s="3101" t="s">
        <v>119</v>
      </c>
    </row>
    <row r="76" spans="1:25" ht="36" hidden="1">
      <c r="A76" s="1304"/>
      <c r="B76" s="643">
        <v>1221</v>
      </c>
      <c r="C76" s="643">
        <v>122102</v>
      </c>
      <c r="D76" s="3085">
        <v>2</v>
      </c>
      <c r="E76" s="3086" t="str">
        <f t="shared" si="8"/>
        <v>其他应收款</v>
      </c>
      <c r="F76" s="3087" t="s">
        <v>6433</v>
      </c>
      <c r="G76" s="3088">
        <f t="shared" si="9"/>
        <v>0</v>
      </c>
      <c r="H76" s="3089">
        <f t="shared" ca="1" si="7"/>
        <v>0</v>
      </c>
      <c r="I76" s="3091" t="s">
        <v>6803</v>
      </c>
      <c r="J76" s="3070"/>
      <c r="K76" s="3088">
        <f t="shared" si="10"/>
        <v>70022.3</v>
      </c>
      <c r="L76" s="3069">
        <f ca="1">INDIRECT("Notes!CheckB"&amp;$C76)</f>
        <v>0</v>
      </c>
      <c r="M76" s="3091" t="s">
        <v>6803</v>
      </c>
      <c r="N76" s="3070"/>
      <c r="O76" s="3097"/>
      <c r="P76" s="3098"/>
      <c r="Q76" s="3098"/>
      <c r="R76" s="3098"/>
      <c r="S76" s="3099" t="s">
        <v>295</v>
      </c>
      <c r="T76" s="3099" t="s">
        <v>213</v>
      </c>
      <c r="U76" s="3100">
        <v>122100</v>
      </c>
      <c r="V76" s="3100" t="s">
        <v>295</v>
      </c>
      <c r="W76" s="3100" t="s">
        <v>145</v>
      </c>
      <c r="X76" s="3100" t="s">
        <v>6800</v>
      </c>
      <c r="Y76" s="3101" t="s">
        <v>119</v>
      </c>
    </row>
    <row r="77" spans="1:25" ht="36" hidden="1">
      <c r="A77" s="1304"/>
      <c r="B77" s="643">
        <v>1221</v>
      </c>
      <c r="C77" s="643">
        <v>122121</v>
      </c>
      <c r="D77" s="3085">
        <v>2</v>
      </c>
      <c r="E77" s="3086" t="str">
        <f t="shared" si="8"/>
        <v>其他应收款</v>
      </c>
      <c r="F77" s="3087" t="s">
        <v>5911</v>
      </c>
      <c r="G77" s="3088">
        <f t="shared" si="9"/>
        <v>0</v>
      </c>
      <c r="H77" s="3089">
        <f t="shared" ca="1" si="7"/>
        <v>0</v>
      </c>
      <c r="I77" s="3091" t="s">
        <v>6803</v>
      </c>
      <c r="J77" s="3070"/>
      <c r="K77" s="3088">
        <f t="shared" si="10"/>
        <v>70022.3</v>
      </c>
      <c r="L77" s="3069" t="s">
        <v>6799</v>
      </c>
      <c r="M77" s="3091" t="s">
        <v>6803</v>
      </c>
      <c r="N77" s="3070"/>
      <c r="O77" s="3097"/>
      <c r="P77" s="3098"/>
      <c r="Q77" s="3098"/>
      <c r="R77" s="3098"/>
      <c r="S77" s="3099" t="s">
        <v>295</v>
      </c>
      <c r="T77" s="3099" t="s">
        <v>213</v>
      </c>
      <c r="U77" s="3100">
        <v>122102</v>
      </c>
      <c r="V77" s="3100" t="s">
        <v>295</v>
      </c>
      <c r="W77" s="3100" t="s">
        <v>145</v>
      </c>
      <c r="X77" s="3100" t="s">
        <v>6800</v>
      </c>
      <c r="Y77" s="3101" t="s">
        <v>119</v>
      </c>
    </row>
    <row r="78" spans="1:25" ht="36" hidden="1">
      <c r="A78" s="1304"/>
      <c r="B78" s="643">
        <v>1221</v>
      </c>
      <c r="C78" s="643">
        <v>122122</v>
      </c>
      <c r="D78" s="3085">
        <v>2</v>
      </c>
      <c r="E78" s="3086" t="str">
        <f t="shared" si="8"/>
        <v>其他应收款</v>
      </c>
      <c r="F78" s="3087" t="s">
        <v>5912</v>
      </c>
      <c r="G78" s="3088">
        <f t="shared" si="9"/>
        <v>0</v>
      </c>
      <c r="H78" s="3089">
        <f t="shared" ca="1" si="7"/>
        <v>0</v>
      </c>
      <c r="I78" s="3091" t="s">
        <v>6803</v>
      </c>
      <c r="J78" s="3070"/>
      <c r="K78" s="3088">
        <f t="shared" si="10"/>
        <v>70022.3</v>
      </c>
      <c r="L78" s="3069" t="s">
        <v>6799</v>
      </c>
      <c r="M78" s="3091" t="s">
        <v>6803</v>
      </c>
      <c r="N78" s="3070"/>
      <c r="O78" s="3097"/>
      <c r="P78" s="3098"/>
      <c r="Q78" s="3098"/>
      <c r="R78" s="3098"/>
      <c r="S78" s="3099" t="s">
        <v>295</v>
      </c>
      <c r="T78" s="3099" t="s">
        <v>213</v>
      </c>
      <c r="U78" s="3100">
        <v>122102</v>
      </c>
      <c r="V78" s="3100" t="s">
        <v>295</v>
      </c>
      <c r="W78" s="3100" t="s">
        <v>145</v>
      </c>
      <c r="X78" s="3100" t="s">
        <v>6800</v>
      </c>
      <c r="Y78" s="3101" t="s">
        <v>119</v>
      </c>
    </row>
    <row r="79" spans="1:25" ht="36" hidden="1">
      <c r="A79" s="1304"/>
      <c r="B79" s="643">
        <v>1221</v>
      </c>
      <c r="C79" s="643">
        <v>122123</v>
      </c>
      <c r="D79" s="3085">
        <v>2</v>
      </c>
      <c r="E79" s="3086" t="str">
        <f t="shared" si="8"/>
        <v>其他应收款</v>
      </c>
      <c r="F79" s="3087" t="s">
        <v>5913</v>
      </c>
      <c r="G79" s="3088">
        <f t="shared" si="9"/>
        <v>0</v>
      </c>
      <c r="H79" s="3089">
        <f t="shared" ca="1" si="7"/>
        <v>0</v>
      </c>
      <c r="I79" s="3091" t="s">
        <v>6803</v>
      </c>
      <c r="J79" s="3070"/>
      <c r="K79" s="3088">
        <f t="shared" si="10"/>
        <v>70022.3</v>
      </c>
      <c r="L79" s="3069" t="s">
        <v>6799</v>
      </c>
      <c r="M79" s="3091" t="s">
        <v>6803</v>
      </c>
      <c r="N79" s="3070"/>
      <c r="O79" s="3097"/>
      <c r="P79" s="3098"/>
      <c r="Q79" s="3098"/>
      <c r="R79" s="3098"/>
      <c r="S79" s="3099" t="s">
        <v>295</v>
      </c>
      <c r="T79" s="3099" t="s">
        <v>213</v>
      </c>
      <c r="U79" s="3100">
        <v>122102</v>
      </c>
      <c r="V79" s="3100" t="s">
        <v>295</v>
      </c>
      <c r="W79" s="3100" t="s">
        <v>145</v>
      </c>
      <c r="X79" s="3100" t="s">
        <v>213</v>
      </c>
      <c r="Y79" s="3101" t="s">
        <v>119</v>
      </c>
    </row>
    <row r="80" spans="1:25" ht="36" hidden="1">
      <c r="A80" s="1304"/>
      <c r="B80" s="643">
        <v>1221</v>
      </c>
      <c r="C80" s="643">
        <v>122124</v>
      </c>
      <c r="D80" s="3085">
        <v>2</v>
      </c>
      <c r="E80" s="3086" t="str">
        <f t="shared" si="8"/>
        <v>其他应收款</v>
      </c>
      <c r="F80" s="3087" t="s">
        <v>5914</v>
      </c>
      <c r="G80" s="3088">
        <f t="shared" si="9"/>
        <v>0</v>
      </c>
      <c r="H80" s="3089">
        <f t="shared" ca="1" si="7"/>
        <v>0</v>
      </c>
      <c r="I80" s="3091" t="s">
        <v>6803</v>
      </c>
      <c r="J80" s="3070"/>
      <c r="K80" s="3088">
        <f t="shared" si="10"/>
        <v>70022.3</v>
      </c>
      <c r="L80" s="3069" t="s">
        <v>6799</v>
      </c>
      <c r="M80" s="3091" t="s">
        <v>6803</v>
      </c>
      <c r="N80" s="3070"/>
      <c r="O80" s="3097"/>
      <c r="P80" s="3098"/>
      <c r="Q80" s="3098"/>
      <c r="R80" s="3098"/>
      <c r="S80" s="3099" t="s">
        <v>295</v>
      </c>
      <c r="T80" s="3099" t="s">
        <v>213</v>
      </c>
      <c r="U80" s="3100">
        <v>122102</v>
      </c>
      <c r="V80" s="3100" t="s">
        <v>295</v>
      </c>
      <c r="W80" s="3100" t="s">
        <v>145</v>
      </c>
      <c r="X80" s="3100" t="s">
        <v>213</v>
      </c>
      <c r="Y80" s="3101" t="s">
        <v>119</v>
      </c>
    </row>
    <row r="81" spans="1:25" ht="36" hidden="1">
      <c r="A81" s="1304"/>
      <c r="B81" s="643">
        <v>1221</v>
      </c>
      <c r="C81" s="643">
        <v>122103</v>
      </c>
      <c r="D81" s="3085">
        <v>2</v>
      </c>
      <c r="E81" s="3086" t="str">
        <f t="shared" si="8"/>
        <v>其他应收款</v>
      </c>
      <c r="F81" s="3087" t="s">
        <v>6434</v>
      </c>
      <c r="G81" s="3088">
        <f t="shared" si="9"/>
        <v>0</v>
      </c>
      <c r="H81" s="3089">
        <f t="shared" ca="1" si="7"/>
        <v>0</v>
      </c>
      <c r="I81" s="3091" t="s">
        <v>6803</v>
      </c>
      <c r="J81" s="3070"/>
      <c r="K81" s="3088">
        <f t="shared" si="10"/>
        <v>70022.3</v>
      </c>
      <c r="L81" s="3069" t="s">
        <v>6799</v>
      </c>
      <c r="M81" s="3091" t="s">
        <v>6803</v>
      </c>
      <c r="N81" s="3070"/>
      <c r="O81" s="3097"/>
      <c r="P81" s="3098"/>
      <c r="Q81" s="3098"/>
      <c r="R81" s="3098"/>
      <c r="S81" s="3099" t="s">
        <v>295</v>
      </c>
      <c r="T81" s="3099" t="s">
        <v>213</v>
      </c>
      <c r="U81" s="3100">
        <v>122100</v>
      </c>
      <c r="V81" s="3100" t="s">
        <v>295</v>
      </c>
      <c r="W81" s="3100" t="s">
        <v>145</v>
      </c>
      <c r="X81" s="3100" t="s">
        <v>6800</v>
      </c>
      <c r="Y81" s="3101" t="s">
        <v>119</v>
      </c>
    </row>
    <row r="82" spans="1:25" ht="36" hidden="1">
      <c r="A82" s="1304"/>
      <c r="B82" s="643">
        <v>1221</v>
      </c>
      <c r="C82" s="643">
        <v>122131</v>
      </c>
      <c r="D82" s="3085">
        <v>2</v>
      </c>
      <c r="E82" s="3086" t="str">
        <f t="shared" si="8"/>
        <v>其他应收款</v>
      </c>
      <c r="F82" s="3087" t="s">
        <v>5915</v>
      </c>
      <c r="G82" s="3088">
        <f t="shared" si="9"/>
        <v>0</v>
      </c>
      <c r="H82" s="3089">
        <f t="shared" ca="1" si="7"/>
        <v>0</v>
      </c>
      <c r="I82" s="3091" t="s">
        <v>6803</v>
      </c>
      <c r="J82" s="3070"/>
      <c r="K82" s="3088">
        <f t="shared" si="10"/>
        <v>70022.3</v>
      </c>
      <c r="L82" s="3069" t="s">
        <v>6799</v>
      </c>
      <c r="M82" s="3091" t="s">
        <v>6803</v>
      </c>
      <c r="N82" s="3070"/>
      <c r="O82" s="3097"/>
      <c r="P82" s="3098"/>
      <c r="Q82" s="3098"/>
      <c r="R82" s="3098"/>
      <c r="S82" s="3099" t="s">
        <v>295</v>
      </c>
      <c r="T82" s="3099" t="s">
        <v>213</v>
      </c>
      <c r="U82" s="3100">
        <v>122103</v>
      </c>
      <c r="V82" s="3100" t="s">
        <v>295</v>
      </c>
      <c r="W82" s="3100" t="s">
        <v>145</v>
      </c>
      <c r="X82" s="3100" t="s">
        <v>6800</v>
      </c>
      <c r="Y82" s="3101" t="s">
        <v>119</v>
      </c>
    </row>
    <row r="83" spans="1:25" ht="36" hidden="1">
      <c r="A83" s="1304"/>
      <c r="B83" s="643">
        <v>1221</v>
      </c>
      <c r="C83" s="643">
        <v>122132</v>
      </c>
      <c r="D83" s="3085">
        <v>2</v>
      </c>
      <c r="E83" s="3086" t="str">
        <f t="shared" si="8"/>
        <v>其他应收款</v>
      </c>
      <c r="F83" s="3087" t="s">
        <v>5916</v>
      </c>
      <c r="G83" s="3088">
        <f t="shared" si="9"/>
        <v>0</v>
      </c>
      <c r="H83" s="3089">
        <f t="shared" ca="1" si="7"/>
        <v>0</v>
      </c>
      <c r="I83" s="3091" t="s">
        <v>6803</v>
      </c>
      <c r="J83" s="3070"/>
      <c r="K83" s="3088">
        <f t="shared" si="10"/>
        <v>70022.3</v>
      </c>
      <c r="L83" s="3069" t="s">
        <v>6799</v>
      </c>
      <c r="M83" s="3091" t="s">
        <v>6803</v>
      </c>
      <c r="N83" s="3070"/>
      <c r="O83" s="3097"/>
      <c r="P83" s="3098"/>
      <c r="Q83" s="3098"/>
      <c r="R83" s="3098"/>
      <c r="S83" s="3099" t="s">
        <v>295</v>
      </c>
      <c r="T83" s="3099" t="s">
        <v>213</v>
      </c>
      <c r="U83" s="3100">
        <v>122103</v>
      </c>
      <c r="V83" s="3100" t="s">
        <v>295</v>
      </c>
      <c r="W83" s="3100" t="s">
        <v>145</v>
      </c>
      <c r="X83" s="3100" t="s">
        <v>6800</v>
      </c>
      <c r="Y83" s="3101" t="s">
        <v>119</v>
      </c>
    </row>
    <row r="84" spans="1:25" ht="36" hidden="1">
      <c r="A84" s="1304"/>
      <c r="B84" s="643">
        <v>1221</v>
      </c>
      <c r="C84" s="643">
        <v>122133</v>
      </c>
      <c r="D84" s="3085">
        <v>2</v>
      </c>
      <c r="E84" s="3086" t="str">
        <f t="shared" si="8"/>
        <v>其他应收款</v>
      </c>
      <c r="F84" s="3087" t="s">
        <v>5917</v>
      </c>
      <c r="G84" s="3088">
        <f t="shared" si="9"/>
        <v>0</v>
      </c>
      <c r="H84" s="3089">
        <f t="shared" ca="1" si="7"/>
        <v>0</v>
      </c>
      <c r="I84" s="3091" t="s">
        <v>6803</v>
      </c>
      <c r="J84" s="3070"/>
      <c r="K84" s="3088">
        <f t="shared" si="10"/>
        <v>70022.3</v>
      </c>
      <c r="L84" s="3069">
        <f t="shared" ref="L84:L90" ca="1" si="11">INDIRECT("Notes!CheckB"&amp;$C84)</f>
        <v>0</v>
      </c>
      <c r="M84" s="3091" t="s">
        <v>6803</v>
      </c>
      <c r="N84" s="3070"/>
      <c r="O84" s="3097"/>
      <c r="P84" s="3098"/>
      <c r="Q84" s="3098"/>
      <c r="R84" s="3098"/>
      <c r="S84" s="3099" t="s">
        <v>295</v>
      </c>
      <c r="T84" s="3099" t="s">
        <v>213</v>
      </c>
      <c r="U84" s="3100">
        <v>122103</v>
      </c>
      <c r="V84" s="3100" t="s">
        <v>295</v>
      </c>
      <c r="W84" s="3100" t="s">
        <v>145</v>
      </c>
      <c r="X84" s="3100" t="s">
        <v>213</v>
      </c>
      <c r="Y84" s="3101" t="s">
        <v>119</v>
      </c>
    </row>
    <row r="85" spans="1:25" ht="36" hidden="1">
      <c r="A85" s="1304"/>
      <c r="B85" s="643">
        <v>1221</v>
      </c>
      <c r="C85" s="643">
        <v>122134</v>
      </c>
      <c r="D85" s="3085">
        <v>2</v>
      </c>
      <c r="E85" s="3086" t="str">
        <f t="shared" si="8"/>
        <v>其他应收款</v>
      </c>
      <c r="F85" s="3087" t="s">
        <v>5918</v>
      </c>
      <c r="G85" s="3088">
        <f t="shared" si="9"/>
        <v>0</v>
      </c>
      <c r="H85" s="3089">
        <f t="shared" ca="1" si="7"/>
        <v>0</v>
      </c>
      <c r="I85" s="3091" t="s">
        <v>6803</v>
      </c>
      <c r="J85" s="3070"/>
      <c r="K85" s="3088">
        <f t="shared" si="10"/>
        <v>70022.3</v>
      </c>
      <c r="L85" s="3069">
        <f t="shared" ca="1" si="11"/>
        <v>0</v>
      </c>
      <c r="M85" s="3091" t="s">
        <v>6803</v>
      </c>
      <c r="N85" s="3070"/>
      <c r="O85" s="3097"/>
      <c r="P85" s="3098"/>
      <c r="Q85" s="3098"/>
      <c r="R85" s="3098"/>
      <c r="S85" s="3099" t="s">
        <v>295</v>
      </c>
      <c r="T85" s="3099" t="s">
        <v>213</v>
      </c>
      <c r="U85" s="3100">
        <v>122103</v>
      </c>
      <c r="V85" s="3100" t="s">
        <v>295</v>
      </c>
      <c r="W85" s="3100" t="s">
        <v>145</v>
      </c>
      <c r="X85" s="3100" t="s">
        <v>213</v>
      </c>
      <c r="Y85" s="3101" t="s">
        <v>119</v>
      </c>
    </row>
    <row r="86" spans="1:25" ht="36" hidden="1">
      <c r="A86" s="1304"/>
      <c r="B86" s="643">
        <v>1221</v>
      </c>
      <c r="C86" s="643" t="s">
        <v>558</v>
      </c>
      <c r="D86" s="3085">
        <v>2</v>
      </c>
      <c r="E86" s="3086" t="str">
        <f t="shared" si="8"/>
        <v>其他应收款</v>
      </c>
      <c r="F86" s="3087" t="s">
        <v>6435</v>
      </c>
      <c r="G86" s="3088">
        <f t="shared" si="9"/>
        <v>0</v>
      </c>
      <c r="H86" s="3089" t="s">
        <v>6799</v>
      </c>
      <c r="I86" s="3091" t="s">
        <v>6803</v>
      </c>
      <c r="J86" s="3070"/>
      <c r="K86" s="3088">
        <f t="shared" si="10"/>
        <v>70022.3</v>
      </c>
      <c r="L86" s="3069">
        <f t="shared" ca="1" si="11"/>
        <v>0</v>
      </c>
      <c r="M86" s="3091" t="s">
        <v>6803</v>
      </c>
      <c r="N86" s="3070"/>
      <c r="O86" s="3097"/>
      <c r="P86" s="3098"/>
      <c r="Q86" s="3098"/>
      <c r="R86" s="3098"/>
      <c r="S86" s="3099" t="s">
        <v>295</v>
      </c>
      <c r="T86" s="3099" t="s">
        <v>213</v>
      </c>
      <c r="U86" s="3100"/>
      <c r="V86" s="3100" t="s">
        <v>295</v>
      </c>
      <c r="W86" s="3100" t="s">
        <v>145</v>
      </c>
      <c r="X86" s="3100" t="s">
        <v>6800</v>
      </c>
      <c r="Y86" s="3101" t="s">
        <v>119</v>
      </c>
    </row>
    <row r="87" spans="1:25" ht="48" hidden="1">
      <c r="A87" s="1304"/>
      <c r="B87" s="643">
        <v>1221</v>
      </c>
      <c r="C87" s="643" t="s">
        <v>569</v>
      </c>
      <c r="D87" s="3085">
        <v>2</v>
      </c>
      <c r="E87" s="3086" t="str">
        <f t="shared" si="8"/>
        <v>其他应收款</v>
      </c>
      <c r="F87" s="3087" t="s">
        <v>6436</v>
      </c>
      <c r="G87" s="3088">
        <f t="shared" si="9"/>
        <v>0</v>
      </c>
      <c r="H87" s="3089" t="s">
        <v>6799</v>
      </c>
      <c r="I87" s="3091" t="s">
        <v>6803</v>
      </c>
      <c r="J87" s="3070"/>
      <c r="K87" s="3088">
        <f t="shared" si="10"/>
        <v>70022.3</v>
      </c>
      <c r="L87" s="3069">
        <f t="shared" ca="1" si="11"/>
        <v>0</v>
      </c>
      <c r="M87" s="3091" t="s">
        <v>6803</v>
      </c>
      <c r="N87" s="3070"/>
      <c r="O87" s="3097"/>
      <c r="P87" s="3098"/>
      <c r="Q87" s="3098"/>
      <c r="R87" s="3098"/>
      <c r="S87" s="3099" t="s">
        <v>295</v>
      </c>
      <c r="T87" s="3099" t="s">
        <v>213</v>
      </c>
      <c r="U87" s="3100"/>
      <c r="V87" s="3100" t="s">
        <v>295</v>
      </c>
      <c r="W87" s="3100" t="s">
        <v>145</v>
      </c>
      <c r="X87" s="3100" t="s">
        <v>6800</v>
      </c>
      <c r="Y87" s="3101" t="s">
        <v>119</v>
      </c>
    </row>
    <row r="88" spans="1:25" ht="48" hidden="1">
      <c r="A88" s="1304"/>
      <c r="B88" s="643">
        <v>1221</v>
      </c>
      <c r="C88" s="643" t="s">
        <v>575</v>
      </c>
      <c r="D88" s="3085">
        <v>2</v>
      </c>
      <c r="E88" s="3086" t="str">
        <f t="shared" si="8"/>
        <v>其他应收款</v>
      </c>
      <c r="F88" s="3087" t="s">
        <v>6437</v>
      </c>
      <c r="G88" s="3088">
        <f t="shared" si="9"/>
        <v>0</v>
      </c>
      <c r="H88" s="3089" t="s">
        <v>6799</v>
      </c>
      <c r="I88" s="3091" t="s">
        <v>6803</v>
      </c>
      <c r="J88" s="3070"/>
      <c r="K88" s="3088">
        <f t="shared" si="10"/>
        <v>70022.3</v>
      </c>
      <c r="L88" s="3069">
        <f t="shared" ca="1" si="11"/>
        <v>0</v>
      </c>
      <c r="M88" s="3091" t="s">
        <v>6803</v>
      </c>
      <c r="N88" s="3070"/>
      <c r="O88" s="3097"/>
      <c r="P88" s="3098"/>
      <c r="Q88" s="3098"/>
      <c r="R88" s="3098"/>
      <c r="S88" s="3099" t="s">
        <v>295</v>
      </c>
      <c r="T88" s="3099" t="s">
        <v>213</v>
      </c>
      <c r="U88" s="3100"/>
      <c r="V88" s="3100" t="s">
        <v>295</v>
      </c>
      <c r="W88" s="3100" t="s">
        <v>145</v>
      </c>
      <c r="X88" s="3100" t="s">
        <v>6800</v>
      </c>
      <c r="Y88" s="3101" t="s">
        <v>119</v>
      </c>
    </row>
    <row r="89" spans="1:25" ht="24" hidden="1">
      <c r="A89" s="1304"/>
      <c r="B89" s="643">
        <v>1221</v>
      </c>
      <c r="C89" s="643" t="s">
        <v>579</v>
      </c>
      <c r="D89" s="3085">
        <v>2</v>
      </c>
      <c r="E89" s="3086" t="str">
        <f t="shared" si="8"/>
        <v>其他应收款</v>
      </c>
      <c r="F89" s="3087" t="s">
        <v>580</v>
      </c>
      <c r="G89" s="3088">
        <f t="shared" si="9"/>
        <v>0</v>
      </c>
      <c r="H89" s="3089">
        <f t="shared" ref="H89:H101" ca="1" si="12">INDIRECT("Notes!CheckA"&amp;$C89)</f>
        <v>0</v>
      </c>
      <c r="I89" s="3091" t="s">
        <v>6803</v>
      </c>
      <c r="J89" s="3070"/>
      <c r="K89" s="3088">
        <f t="shared" si="10"/>
        <v>70022.3</v>
      </c>
      <c r="L89" s="3069">
        <f t="shared" ca="1" si="11"/>
        <v>0</v>
      </c>
      <c r="M89" s="3091" t="s">
        <v>6803</v>
      </c>
      <c r="N89" s="3070"/>
      <c r="O89" s="3097"/>
      <c r="P89" s="3098"/>
      <c r="Q89" s="3098"/>
      <c r="R89" s="3098"/>
      <c r="S89" s="3099" t="s">
        <v>295</v>
      </c>
      <c r="T89" s="3099" t="s">
        <v>213</v>
      </c>
      <c r="U89" s="3100"/>
      <c r="V89" s="3100" t="s">
        <v>295</v>
      </c>
      <c r="W89" s="3100" t="s">
        <v>145</v>
      </c>
      <c r="X89" s="3100" t="s">
        <v>6800</v>
      </c>
      <c r="Y89" s="3101" t="s">
        <v>119</v>
      </c>
    </row>
    <row r="90" spans="1:25" ht="36" hidden="1">
      <c r="A90" s="1304"/>
      <c r="B90" s="643">
        <v>1221</v>
      </c>
      <c r="C90" s="643">
        <v>122104</v>
      </c>
      <c r="D90" s="3085">
        <v>2</v>
      </c>
      <c r="E90" s="3086" t="str">
        <f t="shared" si="8"/>
        <v>其他应收款</v>
      </c>
      <c r="F90" s="3087" t="s">
        <v>5908</v>
      </c>
      <c r="G90" s="3088">
        <f t="shared" si="9"/>
        <v>0</v>
      </c>
      <c r="H90" s="3089">
        <f t="shared" ca="1" si="12"/>
        <v>0</v>
      </c>
      <c r="I90" s="3091" t="s">
        <v>6803</v>
      </c>
      <c r="J90" s="3070"/>
      <c r="K90" s="3088">
        <f t="shared" si="10"/>
        <v>70022.3</v>
      </c>
      <c r="L90" s="3069">
        <f t="shared" ca="1" si="11"/>
        <v>0</v>
      </c>
      <c r="M90" s="3091" t="s">
        <v>6803</v>
      </c>
      <c r="N90" s="3070"/>
      <c r="O90" s="3097"/>
      <c r="P90" s="3098"/>
      <c r="Q90" s="3098"/>
      <c r="R90" s="3098"/>
      <c r="S90" s="3099" t="s">
        <v>295</v>
      </c>
      <c r="T90" s="3099" t="s">
        <v>213</v>
      </c>
      <c r="U90" s="3100"/>
      <c r="V90" s="3100" t="s">
        <v>295</v>
      </c>
      <c r="W90" s="3100" t="s">
        <v>145</v>
      </c>
      <c r="X90" s="3100" t="s">
        <v>6800</v>
      </c>
      <c r="Y90" s="3101" t="s">
        <v>119</v>
      </c>
    </row>
    <row r="91" spans="1:25" ht="36" hidden="1">
      <c r="A91" s="1304"/>
      <c r="B91" s="643">
        <v>1221</v>
      </c>
      <c r="C91" s="643" t="s">
        <v>584</v>
      </c>
      <c r="D91" s="3085">
        <v>2</v>
      </c>
      <c r="E91" s="3086" t="str">
        <f t="shared" si="8"/>
        <v>其他应收款</v>
      </c>
      <c r="F91" s="3087" t="s">
        <v>585</v>
      </c>
      <c r="G91" s="3088">
        <f t="shared" si="9"/>
        <v>0</v>
      </c>
      <c r="H91" s="3089">
        <f t="shared" ca="1" si="12"/>
        <v>0</v>
      </c>
      <c r="I91" s="3091" t="s">
        <v>6803</v>
      </c>
      <c r="J91" s="3070"/>
      <c r="K91" s="3088">
        <f t="shared" si="10"/>
        <v>70022.3</v>
      </c>
      <c r="L91" s="3069" t="s">
        <v>6799</v>
      </c>
      <c r="M91" s="3091" t="s">
        <v>6803</v>
      </c>
      <c r="N91" s="3070"/>
      <c r="O91" s="3097"/>
      <c r="P91" s="3098"/>
      <c r="Q91" s="3098"/>
      <c r="R91" s="3098"/>
      <c r="S91" s="3099" t="s">
        <v>295</v>
      </c>
      <c r="T91" s="3099" t="s">
        <v>213</v>
      </c>
      <c r="U91" s="3100"/>
      <c r="V91" s="3100" t="s">
        <v>295</v>
      </c>
      <c r="W91" s="3100" t="s">
        <v>6797</v>
      </c>
      <c r="X91" s="3100" t="s">
        <v>6800</v>
      </c>
      <c r="Y91" s="3101" t="s">
        <v>164</v>
      </c>
    </row>
    <row r="92" spans="1:25" ht="24" hidden="1">
      <c r="A92" s="1304"/>
      <c r="B92" s="643">
        <v>1221</v>
      </c>
      <c r="C92" s="643" t="s">
        <v>590</v>
      </c>
      <c r="D92" s="3085">
        <v>2</v>
      </c>
      <c r="E92" s="3086" t="str">
        <f t="shared" si="8"/>
        <v>其他应收款</v>
      </c>
      <c r="F92" s="3087" t="s">
        <v>591</v>
      </c>
      <c r="G92" s="3088">
        <f t="shared" si="9"/>
        <v>0</v>
      </c>
      <c r="H92" s="3089">
        <f t="shared" ca="1" si="12"/>
        <v>0</v>
      </c>
      <c r="I92" s="3091" t="s">
        <v>6803</v>
      </c>
      <c r="J92" s="3070"/>
      <c r="K92" s="3088">
        <f t="shared" si="10"/>
        <v>70022.3</v>
      </c>
      <c r="L92" s="3069">
        <f ca="1">INDIRECT("Notes!CheckB"&amp;$C92)</f>
        <v>0</v>
      </c>
      <c r="M92" s="3091" t="s">
        <v>6803</v>
      </c>
      <c r="N92" s="3070"/>
      <c r="O92" s="3097"/>
      <c r="P92" s="3098"/>
      <c r="Q92" s="3098"/>
      <c r="R92" s="3098"/>
      <c r="S92" s="3099" t="s">
        <v>295</v>
      </c>
      <c r="T92" s="3099" t="s">
        <v>213</v>
      </c>
      <c r="U92" s="3100"/>
      <c r="V92" s="3100" t="s">
        <v>295</v>
      </c>
      <c r="W92" s="3100" t="s">
        <v>6797</v>
      </c>
      <c r="X92" s="3100" t="s">
        <v>6800</v>
      </c>
      <c r="Y92" s="3101" t="s">
        <v>164</v>
      </c>
    </row>
    <row r="93" spans="1:25" ht="24" hidden="1">
      <c r="A93" s="1304"/>
      <c r="B93" s="643">
        <v>1221</v>
      </c>
      <c r="C93" s="643" t="s">
        <v>595</v>
      </c>
      <c r="D93" s="3085">
        <v>2</v>
      </c>
      <c r="E93" s="3086" t="str">
        <f t="shared" si="8"/>
        <v>其他应收款</v>
      </c>
      <c r="F93" s="3087" t="s">
        <v>596</v>
      </c>
      <c r="G93" s="3088">
        <f t="shared" si="9"/>
        <v>0</v>
      </c>
      <c r="H93" s="3089">
        <f t="shared" ca="1" si="12"/>
        <v>0</v>
      </c>
      <c r="I93" s="3091" t="s">
        <v>6803</v>
      </c>
      <c r="J93" s="3070"/>
      <c r="K93" s="3088">
        <f t="shared" si="10"/>
        <v>70022.3</v>
      </c>
      <c r="L93" s="3069" t="s">
        <v>6799</v>
      </c>
      <c r="M93" s="3091" t="s">
        <v>6803</v>
      </c>
      <c r="N93" s="3070"/>
      <c r="O93" s="3097"/>
      <c r="P93" s="3098"/>
      <c r="Q93" s="3098"/>
      <c r="R93" s="3098"/>
      <c r="S93" s="3099" t="s">
        <v>295</v>
      </c>
      <c r="T93" s="3099" t="s">
        <v>213</v>
      </c>
      <c r="U93" s="3100"/>
      <c r="V93" s="3100" t="s">
        <v>295</v>
      </c>
      <c r="W93" s="3100" t="s">
        <v>6797</v>
      </c>
      <c r="X93" s="3100" t="s">
        <v>6800</v>
      </c>
      <c r="Y93" s="3101" t="s">
        <v>164</v>
      </c>
    </row>
    <row r="94" spans="1:25" ht="36" hidden="1">
      <c r="A94" s="1304"/>
      <c r="B94" s="643">
        <v>1221</v>
      </c>
      <c r="C94" s="643" t="s">
        <v>600</v>
      </c>
      <c r="D94" s="3085">
        <v>2</v>
      </c>
      <c r="E94" s="3086" t="str">
        <f t="shared" si="8"/>
        <v>其他应收款</v>
      </c>
      <c r="F94" s="3087" t="s">
        <v>601</v>
      </c>
      <c r="G94" s="3088">
        <f t="shared" si="9"/>
        <v>0</v>
      </c>
      <c r="H94" s="3089">
        <f t="shared" ca="1" si="12"/>
        <v>0</v>
      </c>
      <c r="I94" s="3091" t="s">
        <v>6803</v>
      </c>
      <c r="J94" s="3070"/>
      <c r="K94" s="3088">
        <f t="shared" si="10"/>
        <v>70022.3</v>
      </c>
      <c r="L94" s="3069" t="s">
        <v>6799</v>
      </c>
      <c r="M94" s="3091" t="s">
        <v>6803</v>
      </c>
      <c r="N94" s="3070"/>
      <c r="O94" s="3097"/>
      <c r="P94" s="3098"/>
      <c r="Q94" s="3098"/>
      <c r="R94" s="3098"/>
      <c r="S94" s="3099" t="s">
        <v>295</v>
      </c>
      <c r="T94" s="3099" t="s">
        <v>213</v>
      </c>
      <c r="U94" s="3100"/>
      <c r="V94" s="3100" t="s">
        <v>295</v>
      </c>
      <c r="W94" s="3100" t="s">
        <v>6797</v>
      </c>
      <c r="X94" s="3100" t="s">
        <v>6800</v>
      </c>
      <c r="Y94" s="3101" t="s">
        <v>164</v>
      </c>
    </row>
    <row r="95" spans="1:25" ht="24" hidden="1">
      <c r="A95" s="1304"/>
      <c r="B95" s="643">
        <v>1221</v>
      </c>
      <c r="C95" s="643" t="s">
        <v>605</v>
      </c>
      <c r="D95" s="3085">
        <v>2</v>
      </c>
      <c r="E95" s="3086" t="str">
        <f t="shared" si="8"/>
        <v>其他应收款</v>
      </c>
      <c r="F95" s="3087" t="s">
        <v>606</v>
      </c>
      <c r="G95" s="3088">
        <f t="shared" si="9"/>
        <v>0</v>
      </c>
      <c r="H95" s="3089">
        <f t="shared" ca="1" si="12"/>
        <v>0</v>
      </c>
      <c r="I95" s="3091" t="s">
        <v>6803</v>
      </c>
      <c r="J95" s="3070"/>
      <c r="K95" s="3088">
        <f t="shared" si="10"/>
        <v>70022.3</v>
      </c>
      <c r="L95" s="3069" t="s">
        <v>6799</v>
      </c>
      <c r="M95" s="3091" t="s">
        <v>6803</v>
      </c>
      <c r="N95" s="3070"/>
      <c r="O95" s="3097"/>
      <c r="P95" s="3098"/>
      <c r="Q95" s="3098"/>
      <c r="R95" s="3098"/>
      <c r="S95" s="3099" t="s">
        <v>295</v>
      </c>
      <c r="T95" s="3099" t="s">
        <v>213</v>
      </c>
      <c r="U95" s="3100"/>
      <c r="V95" s="3100" t="s">
        <v>295</v>
      </c>
      <c r="W95" s="3100" t="s">
        <v>6797</v>
      </c>
      <c r="X95" s="3100" t="s">
        <v>6800</v>
      </c>
      <c r="Y95" s="3101" t="s">
        <v>164</v>
      </c>
    </row>
    <row r="96" spans="1:25" ht="24" hidden="1">
      <c r="A96" s="1304"/>
      <c r="B96" s="643">
        <v>1221</v>
      </c>
      <c r="C96" s="643" t="s">
        <v>609</v>
      </c>
      <c r="D96" s="3085">
        <v>2</v>
      </c>
      <c r="E96" s="3086" t="str">
        <f t="shared" si="8"/>
        <v>其他应收款</v>
      </c>
      <c r="F96" s="3087" t="s">
        <v>610</v>
      </c>
      <c r="G96" s="3088">
        <f t="shared" si="9"/>
        <v>0</v>
      </c>
      <c r="H96" s="3089">
        <f t="shared" ca="1" si="12"/>
        <v>0</v>
      </c>
      <c r="I96" s="3091" t="s">
        <v>6803</v>
      </c>
      <c r="J96" s="3070"/>
      <c r="K96" s="3088">
        <f t="shared" si="10"/>
        <v>70022.3</v>
      </c>
      <c r="L96" s="3069" t="s">
        <v>6799</v>
      </c>
      <c r="M96" s="3091" t="s">
        <v>6803</v>
      </c>
      <c r="N96" s="3070"/>
      <c r="O96" s="3097"/>
      <c r="P96" s="3098"/>
      <c r="Q96" s="3098"/>
      <c r="R96" s="3098"/>
      <c r="S96" s="3099" t="s">
        <v>295</v>
      </c>
      <c r="T96" s="3099" t="s">
        <v>213</v>
      </c>
      <c r="U96" s="3100"/>
      <c r="V96" s="3100" t="s">
        <v>295</v>
      </c>
      <c r="W96" s="3100" t="s">
        <v>6797</v>
      </c>
      <c r="X96" s="3100" t="s">
        <v>6800</v>
      </c>
      <c r="Y96" s="3101" t="s">
        <v>164</v>
      </c>
    </row>
    <row r="97" spans="1:25" ht="36" hidden="1">
      <c r="A97" s="1304"/>
      <c r="B97" s="643">
        <v>1221</v>
      </c>
      <c r="C97" s="643" t="s">
        <v>615</v>
      </c>
      <c r="D97" s="3085">
        <v>2</v>
      </c>
      <c r="E97" s="3086" t="str">
        <f t="shared" si="8"/>
        <v>其他应收款</v>
      </c>
      <c r="F97" s="3087" t="s">
        <v>616</v>
      </c>
      <c r="G97" s="3088">
        <f t="shared" si="9"/>
        <v>0</v>
      </c>
      <c r="H97" s="3089">
        <f t="shared" ca="1" si="12"/>
        <v>0</v>
      </c>
      <c r="I97" s="3091" t="s">
        <v>6803</v>
      </c>
      <c r="J97" s="3070"/>
      <c r="K97" s="3088">
        <f t="shared" si="10"/>
        <v>70022.3</v>
      </c>
      <c r="L97" s="3069" t="s">
        <v>6799</v>
      </c>
      <c r="M97" s="3091" t="s">
        <v>6803</v>
      </c>
      <c r="N97" s="3070"/>
      <c r="O97" s="3097"/>
      <c r="P97" s="3098"/>
      <c r="Q97" s="3098"/>
      <c r="R97" s="3098"/>
      <c r="S97" s="3099" t="s">
        <v>295</v>
      </c>
      <c r="T97" s="3099" t="s">
        <v>213</v>
      </c>
      <c r="U97" s="3100"/>
      <c r="V97" s="3100" t="s">
        <v>295</v>
      </c>
      <c r="W97" s="3100" t="s">
        <v>6797</v>
      </c>
      <c r="X97" s="3100" t="s">
        <v>6800</v>
      </c>
      <c r="Y97" s="3101" t="s">
        <v>164</v>
      </c>
    </row>
    <row r="98" spans="1:25" ht="18" hidden="1">
      <c r="A98" s="1304"/>
      <c r="B98" s="643">
        <v>1221</v>
      </c>
      <c r="C98" s="643" t="s">
        <v>629</v>
      </c>
      <c r="D98" s="3085">
        <v>2</v>
      </c>
      <c r="E98" s="3086" t="str">
        <f t="shared" si="8"/>
        <v>其他应收款</v>
      </c>
      <c r="F98" s="3087" t="s">
        <v>630</v>
      </c>
      <c r="G98" s="3088">
        <f t="shared" si="9"/>
        <v>0</v>
      </c>
      <c r="H98" s="3089">
        <f t="shared" ca="1" si="12"/>
        <v>0</v>
      </c>
      <c r="I98" s="3091" t="s">
        <v>6803</v>
      </c>
      <c r="J98" s="3070"/>
      <c r="K98" s="3088">
        <f t="shared" si="10"/>
        <v>70022.3</v>
      </c>
      <c r="L98" s="3069" t="s">
        <v>6799</v>
      </c>
      <c r="M98" s="3091" t="s">
        <v>6803</v>
      </c>
      <c r="N98" s="3070"/>
      <c r="O98" s="3097"/>
      <c r="P98" s="3098"/>
      <c r="Q98" s="3098"/>
      <c r="R98" s="3098"/>
      <c r="S98" s="3099" t="s">
        <v>295</v>
      </c>
      <c r="T98" s="3099" t="s">
        <v>213</v>
      </c>
      <c r="U98" s="3100"/>
      <c r="V98" s="3100" t="s">
        <v>295</v>
      </c>
      <c r="W98" s="3100" t="s">
        <v>6797</v>
      </c>
      <c r="X98" s="3100" t="s">
        <v>213</v>
      </c>
      <c r="Y98" s="3101" t="s">
        <v>164</v>
      </c>
    </row>
    <row r="99" spans="1:25" ht="24" hidden="1">
      <c r="A99" s="1304"/>
      <c r="B99" s="643">
        <v>1221</v>
      </c>
      <c r="C99" s="643" t="s">
        <v>654</v>
      </c>
      <c r="D99" s="3085">
        <v>2</v>
      </c>
      <c r="E99" s="3086" t="str">
        <f t="shared" si="8"/>
        <v>其他应收款</v>
      </c>
      <c r="F99" s="3087" t="s">
        <v>655</v>
      </c>
      <c r="G99" s="3088">
        <f t="shared" si="9"/>
        <v>0</v>
      </c>
      <c r="H99" s="3089">
        <f t="shared" ca="1" si="12"/>
        <v>0</v>
      </c>
      <c r="I99" s="3091" t="s">
        <v>6803</v>
      </c>
      <c r="J99" s="3070"/>
      <c r="K99" s="3088">
        <f t="shared" si="10"/>
        <v>70022.3</v>
      </c>
      <c r="L99" s="3069">
        <f ca="1">INDIRECT("Notes!CheckB"&amp;$C99)</f>
        <v>0</v>
      </c>
      <c r="M99" s="3091" t="s">
        <v>6803</v>
      </c>
      <c r="N99" s="3070"/>
      <c r="O99" s="3097"/>
      <c r="P99" s="3098"/>
      <c r="Q99" s="3098"/>
      <c r="R99" s="3098"/>
      <c r="S99" s="3099" t="s">
        <v>295</v>
      </c>
      <c r="T99" s="3099" t="s">
        <v>213</v>
      </c>
      <c r="U99" s="3100"/>
      <c r="V99" s="3100" t="s">
        <v>295</v>
      </c>
      <c r="W99" s="3100" t="s">
        <v>6797</v>
      </c>
      <c r="X99" s="3100" t="s">
        <v>213</v>
      </c>
      <c r="Y99" s="3101" t="s">
        <v>164</v>
      </c>
    </row>
    <row r="100" spans="1:25" ht="18" hidden="1">
      <c r="A100" s="1304"/>
      <c r="B100" s="643">
        <v>1221</v>
      </c>
      <c r="C100" s="643" t="s">
        <v>663</v>
      </c>
      <c r="D100" s="3085">
        <v>2</v>
      </c>
      <c r="E100" s="3086" t="str">
        <f t="shared" si="8"/>
        <v>其他应收款</v>
      </c>
      <c r="F100" s="3087" t="s">
        <v>664</v>
      </c>
      <c r="G100" s="3088">
        <f t="shared" si="9"/>
        <v>0</v>
      </c>
      <c r="H100" s="3089">
        <f t="shared" ca="1" si="12"/>
        <v>0</v>
      </c>
      <c r="I100" s="3091" t="s">
        <v>6803</v>
      </c>
      <c r="J100" s="3070"/>
      <c r="K100" s="3088">
        <f t="shared" si="10"/>
        <v>70022.3</v>
      </c>
      <c r="L100" s="3069">
        <f ca="1">INDIRECT("Notes!CheckB"&amp;$C100)</f>
        <v>0</v>
      </c>
      <c r="M100" s="3091" t="s">
        <v>6803</v>
      </c>
      <c r="N100" s="3070"/>
      <c r="O100" s="3097"/>
      <c r="P100" s="3098"/>
      <c r="Q100" s="3098"/>
      <c r="R100" s="3098"/>
      <c r="S100" s="3099" t="s">
        <v>295</v>
      </c>
      <c r="T100" s="3099" t="s">
        <v>213</v>
      </c>
      <c r="U100" s="3100"/>
      <c r="V100" s="3100" t="s">
        <v>295</v>
      </c>
      <c r="W100" s="3100" t="s">
        <v>6797</v>
      </c>
      <c r="X100" s="3100" t="s">
        <v>213</v>
      </c>
      <c r="Y100" s="3101" t="s">
        <v>164</v>
      </c>
    </row>
    <row r="101" spans="1:25" ht="18">
      <c r="A101" s="1304"/>
      <c r="B101" s="643">
        <v>1400</v>
      </c>
      <c r="C101" s="643" t="s">
        <v>668</v>
      </c>
      <c r="D101" s="3085">
        <v>1</v>
      </c>
      <c r="E101" s="3086" t="str">
        <f t="shared" si="8"/>
        <v>存货</v>
      </c>
      <c r="F101" s="3087" t="s">
        <v>669</v>
      </c>
      <c r="G101" s="3088">
        <f t="shared" si="9"/>
        <v>0</v>
      </c>
      <c r="H101" s="3089">
        <f t="shared" ca="1" si="12"/>
        <v>0</v>
      </c>
      <c r="I101" s="3091">
        <f ca="1">IF(AND(LEN(G101)&gt;0,LEN(H101)&gt;0),ROUND(SUM(G101)-SUM(H101),2),"")</f>
        <v>0</v>
      </c>
      <c r="J101" s="3070" t="str">
        <f ca="1">IF(ISNA(I101),"N/A",IF(I101=0,"√","？"))</f>
        <v>√</v>
      </c>
      <c r="K101" s="3088">
        <f t="shared" si="10"/>
        <v>0</v>
      </c>
      <c r="L101" s="3069">
        <f ca="1">INDIRECT("Notes!CheckB"&amp;$C101)</f>
        <v>0</v>
      </c>
      <c r="M101" s="3091">
        <f ca="1">IF(AND(LEN(K101)&gt;0,LEN(L101)&gt;0),ROUND(SUM(K101)-SUM(L101),2),"")</f>
        <v>0</v>
      </c>
      <c r="N101" s="3070" t="str">
        <f ca="1">IF(ISNA(M101),"N/A",IF(M101=0,"√","？"))</f>
        <v>√</v>
      </c>
      <c r="O101" s="3097"/>
      <c r="P101" s="3098"/>
      <c r="Q101" s="3098"/>
      <c r="R101" s="3098"/>
      <c r="S101" s="3099" t="s">
        <v>295</v>
      </c>
      <c r="T101" s="3099" t="s">
        <v>213</v>
      </c>
      <c r="U101" s="3100"/>
      <c r="V101" s="3100" t="s">
        <v>295</v>
      </c>
      <c r="W101" s="3100" t="s">
        <v>6797</v>
      </c>
      <c r="X101" s="3100" t="s">
        <v>6798</v>
      </c>
      <c r="Y101" s="3101" t="s">
        <v>164</v>
      </c>
    </row>
    <row r="102" spans="1:25" ht="24" hidden="1">
      <c r="A102" s="1304"/>
      <c r="B102" s="643">
        <v>1400</v>
      </c>
      <c r="C102" s="643" t="s">
        <v>674</v>
      </c>
      <c r="D102" s="3085">
        <v>2</v>
      </c>
      <c r="E102" s="3086" t="str">
        <f t="shared" si="8"/>
        <v>存货</v>
      </c>
      <c r="F102" s="3087" t="s">
        <v>675</v>
      </c>
      <c r="G102" s="3088">
        <f t="shared" si="9"/>
        <v>0</v>
      </c>
      <c r="H102" s="3089" t="s">
        <v>6799</v>
      </c>
      <c r="I102" s="3091" t="s">
        <v>6803</v>
      </c>
      <c r="J102" s="3070"/>
      <c r="K102" s="3088">
        <f t="shared" si="10"/>
        <v>0</v>
      </c>
      <c r="L102" s="3069" t="s">
        <v>6799</v>
      </c>
      <c r="M102" s="3091" t="s">
        <v>6803</v>
      </c>
      <c r="N102" s="3070"/>
      <c r="O102" s="3097"/>
      <c r="P102" s="3098"/>
      <c r="Q102" s="3098"/>
      <c r="R102" s="3098"/>
      <c r="S102" s="3099" t="s">
        <v>295</v>
      </c>
      <c r="T102" s="3099" t="s">
        <v>213</v>
      </c>
      <c r="U102" s="3100"/>
      <c r="V102" s="3100" t="s">
        <v>295</v>
      </c>
      <c r="W102" s="3100" t="s">
        <v>6797</v>
      </c>
      <c r="X102" s="3100" t="s">
        <v>6798</v>
      </c>
      <c r="Y102" s="3101" t="s">
        <v>164</v>
      </c>
    </row>
    <row r="103" spans="1:25" ht="36" hidden="1">
      <c r="A103" s="1304"/>
      <c r="B103" s="643">
        <v>1400</v>
      </c>
      <c r="C103" s="643" t="s">
        <v>678</v>
      </c>
      <c r="D103" s="3085">
        <v>2</v>
      </c>
      <c r="E103" s="3086" t="str">
        <f t="shared" si="8"/>
        <v>存货</v>
      </c>
      <c r="F103" s="3087" t="s">
        <v>679</v>
      </c>
      <c r="G103" s="3088">
        <f t="shared" si="9"/>
        <v>0</v>
      </c>
      <c r="H103" s="3089" t="s">
        <v>6799</v>
      </c>
      <c r="I103" s="3091" t="s">
        <v>6803</v>
      </c>
      <c r="J103" s="3070"/>
      <c r="K103" s="3088">
        <f t="shared" si="10"/>
        <v>0</v>
      </c>
      <c r="L103" s="3069" t="s">
        <v>6799</v>
      </c>
      <c r="M103" s="3091" t="s">
        <v>6803</v>
      </c>
      <c r="N103" s="3070"/>
      <c r="O103" s="3097"/>
      <c r="P103" s="3098"/>
      <c r="Q103" s="3098"/>
      <c r="R103" s="3098"/>
      <c r="S103" s="3099" t="s">
        <v>295</v>
      </c>
      <c r="T103" s="3099" t="s">
        <v>213</v>
      </c>
      <c r="U103" s="3100"/>
      <c r="V103" s="3100" t="s">
        <v>295</v>
      </c>
      <c r="W103" s="3100" t="s">
        <v>6797</v>
      </c>
      <c r="X103" s="3100" t="s">
        <v>213</v>
      </c>
      <c r="Y103" s="3101" t="s">
        <v>164</v>
      </c>
    </row>
    <row r="104" spans="1:25" ht="24" hidden="1">
      <c r="A104" s="1304"/>
      <c r="B104" s="643">
        <v>1400</v>
      </c>
      <c r="C104" s="643" t="s">
        <v>683</v>
      </c>
      <c r="D104" s="3085">
        <v>2</v>
      </c>
      <c r="E104" s="3086" t="str">
        <f t="shared" si="8"/>
        <v>存货</v>
      </c>
      <c r="F104" s="3087" t="s">
        <v>684</v>
      </c>
      <c r="G104" s="3088">
        <f t="shared" si="9"/>
        <v>0</v>
      </c>
      <c r="H104" s="3089">
        <f ca="1">INDIRECT("Notes!CheckA"&amp;$C104)</f>
        <v>0</v>
      </c>
      <c r="I104" s="3091" t="s">
        <v>6803</v>
      </c>
      <c r="J104" s="3070"/>
      <c r="K104" s="3088">
        <f t="shared" si="10"/>
        <v>0</v>
      </c>
      <c r="L104" s="3069" t="s">
        <v>6799</v>
      </c>
      <c r="M104" s="3091" t="s">
        <v>6803</v>
      </c>
      <c r="N104" s="3070"/>
      <c r="O104" s="3097"/>
      <c r="P104" s="3098"/>
      <c r="Q104" s="3098"/>
      <c r="R104" s="3098"/>
      <c r="S104" s="3099" t="s">
        <v>295</v>
      </c>
      <c r="T104" s="3099" t="s">
        <v>213</v>
      </c>
      <c r="U104" s="3100"/>
      <c r="V104" s="3100" t="s">
        <v>295</v>
      </c>
      <c r="W104" s="3100" t="s">
        <v>6797</v>
      </c>
      <c r="X104" s="3100" t="s">
        <v>6800</v>
      </c>
      <c r="Y104" s="3101" t="s">
        <v>164</v>
      </c>
    </row>
    <row r="105" spans="1:25" ht="18" hidden="1">
      <c r="A105" s="1304"/>
      <c r="B105" s="643">
        <v>1400</v>
      </c>
      <c r="C105" s="643" t="s">
        <v>691</v>
      </c>
      <c r="D105" s="3085">
        <v>2</v>
      </c>
      <c r="E105" s="3086" t="str">
        <f t="shared" si="8"/>
        <v>存货</v>
      </c>
      <c r="F105" s="3087" t="s">
        <v>692</v>
      </c>
      <c r="G105" s="3088">
        <f t="shared" si="9"/>
        <v>0</v>
      </c>
      <c r="H105" s="3089" t="s">
        <v>6799</v>
      </c>
      <c r="I105" s="3091" t="s">
        <v>6803</v>
      </c>
      <c r="J105" s="3070"/>
      <c r="K105" s="3088">
        <f t="shared" ref="K105:K136" si="13">IF(ISERROR(VLOOKUP($B105,Sheet_Trialbal,10,0)),"        ----",VLOOKUP($B105,Sheet_Trialbal,10,0))</f>
        <v>0</v>
      </c>
      <c r="L105" s="3069" t="s">
        <v>6799</v>
      </c>
      <c r="M105" s="3091" t="s">
        <v>6803</v>
      </c>
      <c r="N105" s="3070"/>
      <c r="O105" s="3097"/>
      <c r="P105" s="3098"/>
      <c r="Q105" s="3098"/>
      <c r="R105" s="3098"/>
      <c r="S105" s="3099" t="s">
        <v>295</v>
      </c>
      <c r="T105" s="3099" t="s">
        <v>213</v>
      </c>
      <c r="U105" s="3100"/>
      <c r="V105" s="3100" t="s">
        <v>295</v>
      </c>
      <c r="W105" s="3100" t="s">
        <v>6797</v>
      </c>
      <c r="X105" s="3100" t="s">
        <v>6801</v>
      </c>
      <c r="Y105" s="3101" t="s">
        <v>164</v>
      </c>
    </row>
    <row r="106" spans="1:25" ht="18" hidden="1">
      <c r="A106" s="1304"/>
      <c r="B106" s="643">
        <v>1400</v>
      </c>
      <c r="C106" s="643" t="s">
        <v>695</v>
      </c>
      <c r="D106" s="3085">
        <v>2</v>
      </c>
      <c r="E106" s="3086" t="str">
        <f t="shared" si="8"/>
        <v>存货</v>
      </c>
      <c r="F106" s="3087" t="s">
        <v>696</v>
      </c>
      <c r="G106" s="3088">
        <f t="shared" si="9"/>
        <v>0</v>
      </c>
      <c r="H106" s="3089" t="s">
        <v>6799</v>
      </c>
      <c r="I106" s="3091" t="s">
        <v>6803</v>
      </c>
      <c r="J106" s="3070"/>
      <c r="K106" s="3088">
        <f t="shared" si="13"/>
        <v>0</v>
      </c>
      <c r="L106" s="3069" t="s">
        <v>6799</v>
      </c>
      <c r="M106" s="3091" t="s">
        <v>6803</v>
      </c>
      <c r="N106" s="3070"/>
      <c r="O106" s="3097"/>
      <c r="P106" s="3098"/>
      <c r="Q106" s="3098"/>
      <c r="R106" s="3098"/>
      <c r="S106" s="3099" t="s">
        <v>295</v>
      </c>
      <c r="T106" s="3099" t="s">
        <v>213</v>
      </c>
      <c r="U106" s="3100"/>
      <c r="V106" s="3100" t="s">
        <v>295</v>
      </c>
      <c r="W106" s="3100" t="s">
        <v>6797</v>
      </c>
      <c r="X106" s="3100" t="s">
        <v>6801</v>
      </c>
      <c r="Y106" s="3101" t="s">
        <v>164</v>
      </c>
    </row>
    <row r="107" spans="1:25" ht="18" hidden="1">
      <c r="A107" s="1304"/>
      <c r="B107" s="643">
        <v>1400</v>
      </c>
      <c r="C107" s="643" t="s">
        <v>699</v>
      </c>
      <c r="D107" s="3085">
        <v>2</v>
      </c>
      <c r="E107" s="3086" t="str">
        <f t="shared" si="8"/>
        <v>存货</v>
      </c>
      <c r="F107" s="3087" t="s">
        <v>700</v>
      </c>
      <c r="G107" s="3088">
        <f t="shared" si="9"/>
        <v>0</v>
      </c>
      <c r="H107" s="3089" t="s">
        <v>6799</v>
      </c>
      <c r="I107" s="3091" t="s">
        <v>6803</v>
      </c>
      <c r="J107" s="3070"/>
      <c r="K107" s="3088">
        <f t="shared" si="13"/>
        <v>0</v>
      </c>
      <c r="L107" s="3069" t="s">
        <v>6799</v>
      </c>
      <c r="M107" s="3091" t="s">
        <v>6803</v>
      </c>
      <c r="N107" s="3070"/>
      <c r="O107" s="3097"/>
      <c r="P107" s="3098"/>
      <c r="Q107" s="3098"/>
      <c r="R107" s="3098"/>
      <c r="S107" s="3099" t="s">
        <v>295</v>
      </c>
      <c r="T107" s="3099" t="s">
        <v>213</v>
      </c>
      <c r="U107" s="3100"/>
      <c r="V107" s="3100" t="s">
        <v>295</v>
      </c>
      <c r="W107" s="3100" t="s">
        <v>6797</v>
      </c>
      <c r="X107" s="3100" t="s">
        <v>213</v>
      </c>
      <c r="Y107" s="3101" t="s">
        <v>164</v>
      </c>
    </row>
    <row r="108" spans="1:25" ht="24" hidden="1">
      <c r="A108" s="1304"/>
      <c r="B108" s="643">
        <v>1400</v>
      </c>
      <c r="C108" s="643" t="s">
        <v>703</v>
      </c>
      <c r="D108" s="3085">
        <v>2</v>
      </c>
      <c r="E108" s="3086" t="str">
        <f t="shared" si="8"/>
        <v>存货</v>
      </c>
      <c r="F108" s="3087" t="s">
        <v>704</v>
      </c>
      <c r="G108" s="3088">
        <f t="shared" si="9"/>
        <v>0</v>
      </c>
      <c r="H108" s="3089" t="s">
        <v>6799</v>
      </c>
      <c r="I108" s="3091" t="s">
        <v>6803</v>
      </c>
      <c r="J108" s="3070"/>
      <c r="K108" s="3088">
        <f t="shared" si="13"/>
        <v>0</v>
      </c>
      <c r="L108" s="3069" t="s">
        <v>6799</v>
      </c>
      <c r="M108" s="3091" t="s">
        <v>6803</v>
      </c>
      <c r="N108" s="3070"/>
      <c r="O108" s="3097"/>
      <c r="P108" s="3098"/>
      <c r="Q108" s="3098"/>
      <c r="R108" s="3098"/>
      <c r="S108" s="3099" t="s">
        <v>295</v>
      </c>
      <c r="T108" s="3099" t="s">
        <v>213</v>
      </c>
      <c r="U108" s="3100"/>
      <c r="V108" s="3100" t="s">
        <v>295</v>
      </c>
      <c r="W108" s="3100" t="s">
        <v>6797</v>
      </c>
      <c r="X108" s="3100" t="s">
        <v>213</v>
      </c>
      <c r="Y108" s="3101" t="s">
        <v>164</v>
      </c>
    </row>
    <row r="109" spans="1:25" ht="24" hidden="1">
      <c r="A109" s="1304"/>
      <c r="B109" s="643">
        <v>1400</v>
      </c>
      <c r="C109" s="643" t="s">
        <v>687</v>
      </c>
      <c r="D109" s="3085">
        <v>2</v>
      </c>
      <c r="E109" s="3086" t="str">
        <f t="shared" si="8"/>
        <v>存货</v>
      </c>
      <c r="F109" s="3087" t="s">
        <v>688</v>
      </c>
      <c r="G109" s="3088">
        <f t="shared" si="9"/>
        <v>0</v>
      </c>
      <c r="H109" s="3089" t="s">
        <v>6799</v>
      </c>
      <c r="I109" s="3091" t="s">
        <v>6803</v>
      </c>
      <c r="J109" s="3070"/>
      <c r="K109" s="3088">
        <f t="shared" si="13"/>
        <v>0</v>
      </c>
      <c r="L109" s="3069" t="s">
        <v>6799</v>
      </c>
      <c r="M109" s="3091" t="s">
        <v>6803</v>
      </c>
      <c r="N109" s="3070"/>
      <c r="O109" s="3097"/>
      <c r="P109" s="3098"/>
      <c r="Q109" s="3098"/>
      <c r="R109" s="3098"/>
      <c r="S109" s="3099" t="s">
        <v>295</v>
      </c>
      <c r="T109" s="3099" t="s">
        <v>213</v>
      </c>
      <c r="U109" s="3100"/>
      <c r="V109" s="3100" t="s">
        <v>295</v>
      </c>
      <c r="W109" s="3100" t="s">
        <v>6797</v>
      </c>
      <c r="X109" s="3100" t="s">
        <v>213</v>
      </c>
      <c r="Y109" s="3101" t="s">
        <v>164</v>
      </c>
    </row>
    <row r="110" spans="1:25" ht="18" hidden="1">
      <c r="A110" s="1304"/>
      <c r="B110" s="643">
        <v>1400</v>
      </c>
      <c r="C110" s="643" t="s">
        <v>709</v>
      </c>
      <c r="D110" s="3085">
        <v>2</v>
      </c>
      <c r="E110" s="3086" t="str">
        <f t="shared" si="8"/>
        <v>存货</v>
      </c>
      <c r="F110" s="3087" t="s">
        <v>710</v>
      </c>
      <c r="G110" s="3088">
        <f t="shared" si="9"/>
        <v>0</v>
      </c>
      <c r="H110" s="3089" t="s">
        <v>6799</v>
      </c>
      <c r="I110" s="3091" t="s">
        <v>6803</v>
      </c>
      <c r="J110" s="3070"/>
      <c r="K110" s="3088">
        <f t="shared" si="13"/>
        <v>0</v>
      </c>
      <c r="L110" s="3069" t="s">
        <v>6799</v>
      </c>
      <c r="M110" s="3091" t="s">
        <v>6803</v>
      </c>
      <c r="N110" s="3070"/>
      <c r="O110" s="3097"/>
      <c r="P110" s="3098"/>
      <c r="Q110" s="3098"/>
      <c r="R110" s="3098"/>
      <c r="S110" s="3099" t="s">
        <v>295</v>
      </c>
      <c r="T110" s="3099" t="s">
        <v>213</v>
      </c>
      <c r="U110" s="3100"/>
      <c r="V110" s="3100" t="s">
        <v>295</v>
      </c>
      <c r="W110" s="3100" t="s">
        <v>6797</v>
      </c>
      <c r="X110" s="3100" t="s">
        <v>213</v>
      </c>
      <c r="Y110" s="3101" t="s">
        <v>164</v>
      </c>
    </row>
    <row r="111" spans="1:25" ht="24" hidden="1">
      <c r="A111" s="1304"/>
      <c r="B111" s="643">
        <v>1315</v>
      </c>
      <c r="C111" s="643" t="s">
        <v>730</v>
      </c>
      <c r="D111" s="3085">
        <v>2</v>
      </c>
      <c r="E111" s="3086" t="str">
        <f t="shared" si="8"/>
        <v>持有待售资产</v>
      </c>
      <c r="F111" s="3087" t="s">
        <v>715</v>
      </c>
      <c r="G111" s="3088">
        <f t="shared" si="9"/>
        <v>0</v>
      </c>
      <c r="H111" s="3089">
        <f t="shared" ref="H111:H124" ca="1" si="14">INDIRECT("Notes!CheckA"&amp;$C111)</f>
        <v>0</v>
      </c>
      <c r="I111" s="3091" t="s">
        <v>6803</v>
      </c>
      <c r="J111" s="3070"/>
      <c r="K111" s="3088">
        <f t="shared" si="13"/>
        <v>0</v>
      </c>
      <c r="L111" s="3069" t="s">
        <v>6799</v>
      </c>
      <c r="M111" s="3091" t="s">
        <v>6803</v>
      </c>
      <c r="N111" s="3070"/>
      <c r="O111" s="3097"/>
      <c r="P111" s="3098"/>
      <c r="Q111" s="3098"/>
      <c r="R111" s="3098"/>
      <c r="S111" s="3099" t="s">
        <v>295</v>
      </c>
      <c r="T111" s="3099" t="s">
        <v>213</v>
      </c>
      <c r="U111" s="3100"/>
      <c r="V111" s="3100" t="s">
        <v>295</v>
      </c>
      <c r="W111" s="3100" t="s">
        <v>6797</v>
      </c>
      <c r="X111" s="3100" t="s">
        <v>6798</v>
      </c>
      <c r="Y111" s="3101" t="s">
        <v>164</v>
      </c>
    </row>
    <row r="112" spans="1:25" ht="24" hidden="1">
      <c r="A112" s="1304"/>
      <c r="B112" s="643">
        <v>1315</v>
      </c>
      <c r="C112" s="643" t="s">
        <v>721</v>
      </c>
      <c r="D112" s="3085">
        <v>2</v>
      </c>
      <c r="E112" s="3086" t="str">
        <f t="shared" si="8"/>
        <v>持有待售资产</v>
      </c>
      <c r="F112" s="3087" t="s">
        <v>722</v>
      </c>
      <c r="G112" s="3088">
        <f t="shared" si="9"/>
        <v>0</v>
      </c>
      <c r="H112" s="3089">
        <f t="shared" ca="1" si="14"/>
        <v>0</v>
      </c>
      <c r="I112" s="3091" t="s">
        <v>6803</v>
      </c>
      <c r="J112" s="3070"/>
      <c r="K112" s="3088">
        <f t="shared" si="13"/>
        <v>0</v>
      </c>
      <c r="L112" s="3069">
        <f t="shared" ref="L112:L118" ca="1" si="15">INDIRECT("Notes!CheckB"&amp;$C112)</f>
        <v>0</v>
      </c>
      <c r="M112" s="3091" t="s">
        <v>6803</v>
      </c>
      <c r="N112" s="3070"/>
      <c r="O112" s="3097"/>
      <c r="P112" s="3098"/>
      <c r="Q112" s="3098"/>
      <c r="R112" s="3098"/>
      <c r="S112" s="3099" t="s">
        <v>295</v>
      </c>
      <c r="T112" s="3099" t="s">
        <v>213</v>
      </c>
      <c r="U112" s="3100"/>
      <c r="V112" s="3100" t="s">
        <v>295</v>
      </c>
      <c r="W112" s="3100" t="s">
        <v>145</v>
      </c>
      <c r="X112" s="3100" t="s">
        <v>6800</v>
      </c>
      <c r="Y112" s="3101" t="s">
        <v>164</v>
      </c>
    </row>
    <row r="113" spans="1:25" ht="24">
      <c r="A113" s="1304"/>
      <c r="B113" s="643">
        <v>1495</v>
      </c>
      <c r="C113" s="643" t="s">
        <v>747</v>
      </c>
      <c r="D113" s="3085">
        <v>1</v>
      </c>
      <c r="E113" s="3086" t="str">
        <f t="shared" si="8"/>
        <v>一年内到期的非流动资产</v>
      </c>
      <c r="F113" s="3087" t="s">
        <v>748</v>
      </c>
      <c r="G113" s="3088">
        <f t="shared" si="9"/>
        <v>0</v>
      </c>
      <c r="H113" s="3089">
        <f t="shared" ca="1" si="14"/>
        <v>0</v>
      </c>
      <c r="I113" s="3091">
        <f ca="1">IF(AND(LEN(G113)&gt;0,LEN(H113)&gt;0),ROUND(SUM(G113)-SUM(H113),2),"")</f>
        <v>0</v>
      </c>
      <c r="J113" s="3070" t="str">
        <f ca="1">IF(ISNA(I113),"N/A",IF(I113=0,"√","？"))</f>
        <v>√</v>
      </c>
      <c r="K113" s="3088">
        <f t="shared" si="13"/>
        <v>0</v>
      </c>
      <c r="L113" s="3069">
        <f t="shared" ca="1" si="15"/>
        <v>0</v>
      </c>
      <c r="M113" s="3091">
        <f ca="1">IF(AND(LEN(K113)&gt;0,LEN(L113)&gt;0),ROUND(SUM(K113)-SUM(L113),2),"")</f>
        <v>0</v>
      </c>
      <c r="N113" s="3070" t="str">
        <f ca="1">IF(ISNA(M113),"N/A",IF(M113=0,"√","？"))</f>
        <v>√</v>
      </c>
      <c r="O113" s="3097"/>
      <c r="P113" s="3098"/>
      <c r="Q113" s="3098"/>
      <c r="R113" s="3098"/>
      <c r="S113" s="3099" t="s">
        <v>295</v>
      </c>
      <c r="T113" s="3099" t="s">
        <v>213</v>
      </c>
      <c r="U113" s="3100"/>
      <c r="V113" s="3100" t="s">
        <v>295</v>
      </c>
      <c r="W113" s="3100" t="s">
        <v>6797</v>
      </c>
      <c r="X113" s="3100" t="s">
        <v>6798</v>
      </c>
      <c r="Y113" s="3101" t="s">
        <v>164</v>
      </c>
    </row>
    <row r="114" spans="1:25" ht="36" hidden="1">
      <c r="A114" s="1304"/>
      <c r="B114" s="643">
        <v>1495</v>
      </c>
      <c r="C114" s="643" t="s">
        <v>752</v>
      </c>
      <c r="D114" s="3085">
        <v>2</v>
      </c>
      <c r="E114" s="3086" t="str">
        <f t="shared" si="8"/>
        <v>一年内到期的非流动资产</v>
      </c>
      <c r="F114" s="3087" t="s">
        <v>753</v>
      </c>
      <c r="G114" s="3088">
        <f t="shared" si="9"/>
        <v>0</v>
      </c>
      <c r="H114" s="3089">
        <f t="shared" ca="1" si="14"/>
        <v>0</v>
      </c>
      <c r="I114" s="3091" t="s">
        <v>6803</v>
      </c>
      <c r="J114" s="3070"/>
      <c r="K114" s="3088">
        <f t="shared" si="13"/>
        <v>0</v>
      </c>
      <c r="L114" s="3069">
        <f t="shared" ca="1" si="15"/>
        <v>0</v>
      </c>
      <c r="M114" s="3091" t="s">
        <v>6803</v>
      </c>
      <c r="N114" s="3070"/>
      <c r="O114" s="3097"/>
      <c r="P114" s="3098"/>
      <c r="Q114" s="3098"/>
      <c r="R114" s="3098"/>
      <c r="S114" s="3099" t="s">
        <v>295</v>
      </c>
      <c r="T114" s="3099" t="s">
        <v>213</v>
      </c>
      <c r="U114" s="3100"/>
      <c r="V114" s="3100" t="s">
        <v>295</v>
      </c>
      <c r="W114" s="3100" t="s">
        <v>145</v>
      </c>
      <c r="X114" s="3100" t="s">
        <v>6800</v>
      </c>
      <c r="Y114" s="3101" t="s">
        <v>119</v>
      </c>
    </row>
    <row r="115" spans="1:25" ht="18">
      <c r="A115" s="1304"/>
      <c r="B115" s="643">
        <v>1496</v>
      </c>
      <c r="C115" s="643" t="s">
        <v>756</v>
      </c>
      <c r="D115" s="3085">
        <v>1</v>
      </c>
      <c r="E115" s="3086" t="str">
        <f t="shared" si="8"/>
        <v>其他流动资产</v>
      </c>
      <c r="F115" s="3087" t="s">
        <v>757</v>
      </c>
      <c r="G115" s="3088">
        <f t="shared" si="9"/>
        <v>0</v>
      </c>
      <c r="H115" s="3089">
        <f t="shared" ca="1" si="14"/>
        <v>0</v>
      </c>
      <c r="I115" s="3091">
        <f ca="1">IF(AND(LEN(G115)&gt;0,LEN(H115)&gt;0),ROUND(SUM(G115)-SUM(H115),2),"")</f>
        <v>0</v>
      </c>
      <c r="J115" s="3070" t="str">
        <f ca="1">IF(ISNA(I115),"N/A",IF(I115=0,"√","？"))</f>
        <v>√</v>
      </c>
      <c r="K115" s="3088">
        <f t="shared" si="13"/>
        <v>0</v>
      </c>
      <c r="L115" s="3069">
        <f t="shared" ca="1" si="15"/>
        <v>0</v>
      </c>
      <c r="M115" s="3091">
        <f ca="1">IF(AND(LEN(K115)&gt;0,LEN(L115)&gt;0),ROUND(SUM(K115)-SUM(L115),2),"")</f>
        <v>0</v>
      </c>
      <c r="N115" s="3070" t="str">
        <f ca="1">IF(ISNA(M115),"N/A",IF(M115=0,"√","？"))</f>
        <v>√</v>
      </c>
      <c r="O115" s="3097"/>
      <c r="P115" s="3098"/>
      <c r="Q115" s="3098"/>
      <c r="R115" s="3098"/>
      <c r="S115" s="3099" t="s">
        <v>295</v>
      </c>
      <c r="T115" s="3099" t="s">
        <v>213</v>
      </c>
      <c r="U115" s="3100"/>
      <c r="V115" s="3100" t="s">
        <v>295</v>
      </c>
      <c r="W115" s="3100" t="s">
        <v>6797</v>
      </c>
      <c r="X115" s="3100" t="s">
        <v>6798</v>
      </c>
      <c r="Y115" s="3101" t="s">
        <v>164</v>
      </c>
    </row>
    <row r="116" spans="1:25" ht="18">
      <c r="A116" s="1304"/>
      <c r="B116" s="643">
        <v>1505</v>
      </c>
      <c r="C116" s="643" t="s">
        <v>762</v>
      </c>
      <c r="D116" s="3085">
        <v>1</v>
      </c>
      <c r="E116" s="3086" t="str">
        <f t="shared" si="8"/>
        <v>债权投资</v>
      </c>
      <c r="F116" s="3087" t="s">
        <v>763</v>
      </c>
      <c r="G116" s="3088">
        <f t="shared" si="9"/>
        <v>0</v>
      </c>
      <c r="H116" s="3089">
        <f t="shared" ca="1" si="14"/>
        <v>0</v>
      </c>
      <c r="I116" s="3091">
        <f ca="1">IF(AND(LEN(G116)&gt;0,LEN(H116)&gt;0),ROUND(SUM(G116)-SUM(H116),2),"")</f>
        <v>0</v>
      </c>
      <c r="J116" s="3070" t="str">
        <f ca="1">IF(ISNA(I116),"N/A",IF(I116=0,"√","？"))</f>
        <v>√</v>
      </c>
      <c r="K116" s="3088">
        <f t="shared" si="13"/>
        <v>0</v>
      </c>
      <c r="L116" s="3069">
        <f t="shared" ca="1" si="15"/>
        <v>0</v>
      </c>
      <c r="M116" s="3091">
        <f ca="1">IF(AND(LEN(K116)&gt;0,LEN(L116)&gt;0),ROUND(SUM(K116)-SUM(L116),2),"")</f>
        <v>0</v>
      </c>
      <c r="N116" s="3070" t="str">
        <f ca="1">IF(ISNA(M116),"N/A",IF(M116=0,"√","？"))</f>
        <v>√</v>
      </c>
      <c r="O116" s="3097"/>
      <c r="P116" s="3098"/>
      <c r="Q116" s="3098"/>
      <c r="R116" s="3098"/>
      <c r="S116" s="3099" t="s">
        <v>295</v>
      </c>
      <c r="T116" s="3099" t="s">
        <v>213</v>
      </c>
      <c r="U116" s="3100"/>
      <c r="V116" s="3100" t="s">
        <v>295</v>
      </c>
      <c r="W116" s="3100" t="s">
        <v>145</v>
      </c>
      <c r="X116" s="3100" t="s">
        <v>6800</v>
      </c>
      <c r="Y116" s="3101" t="s">
        <v>119</v>
      </c>
    </row>
    <row r="117" spans="1:25" ht="18" hidden="1">
      <c r="A117" s="1304"/>
      <c r="B117" s="643">
        <v>1505</v>
      </c>
      <c r="C117" s="643" t="s">
        <v>768</v>
      </c>
      <c r="D117" s="3085">
        <v>2</v>
      </c>
      <c r="E117" s="3086" t="str">
        <f t="shared" si="8"/>
        <v>债权投资</v>
      </c>
      <c r="F117" s="3087" t="s">
        <v>769</v>
      </c>
      <c r="G117" s="3088">
        <f t="shared" si="9"/>
        <v>0</v>
      </c>
      <c r="H117" s="3089">
        <f t="shared" ca="1" si="14"/>
        <v>0</v>
      </c>
      <c r="I117" s="3091" t="s">
        <v>6803</v>
      </c>
      <c r="J117" s="3070"/>
      <c r="K117" s="3088">
        <f t="shared" si="13"/>
        <v>0</v>
      </c>
      <c r="L117" s="3069">
        <f t="shared" ca="1" si="15"/>
        <v>0</v>
      </c>
      <c r="M117" s="3091" t="s">
        <v>6803</v>
      </c>
      <c r="N117" s="3070"/>
      <c r="O117" s="3097"/>
      <c r="P117" s="3098"/>
      <c r="Q117" s="3098"/>
      <c r="R117" s="3098"/>
      <c r="S117" s="3099" t="s">
        <v>295</v>
      </c>
      <c r="T117" s="3099" t="s">
        <v>213</v>
      </c>
      <c r="U117" s="3100"/>
      <c r="V117" s="3100" t="s">
        <v>295</v>
      </c>
      <c r="W117" s="3100" t="s">
        <v>145</v>
      </c>
      <c r="X117" s="3100" t="s">
        <v>6800</v>
      </c>
      <c r="Y117" s="3101" t="s">
        <v>119</v>
      </c>
    </row>
    <row r="118" spans="1:25" ht="36" hidden="1">
      <c r="A118" s="1304"/>
      <c r="B118" s="643">
        <v>1505</v>
      </c>
      <c r="C118" s="643" t="s">
        <v>773</v>
      </c>
      <c r="D118" s="3085">
        <v>2</v>
      </c>
      <c r="E118" s="3086" t="str">
        <f t="shared" si="8"/>
        <v>债权投资</v>
      </c>
      <c r="F118" s="3087" t="s">
        <v>6438</v>
      </c>
      <c r="G118" s="3088">
        <f t="shared" si="9"/>
        <v>0</v>
      </c>
      <c r="H118" s="3089">
        <f t="shared" ca="1" si="14"/>
        <v>0</v>
      </c>
      <c r="I118" s="3091" t="s">
        <v>6803</v>
      </c>
      <c r="J118" s="3070"/>
      <c r="K118" s="3088">
        <f t="shared" si="13"/>
        <v>0</v>
      </c>
      <c r="L118" s="3069">
        <f t="shared" ca="1" si="15"/>
        <v>0</v>
      </c>
      <c r="M118" s="3091" t="s">
        <v>6803</v>
      </c>
      <c r="N118" s="3070"/>
      <c r="O118" s="3097"/>
      <c r="P118" s="3098"/>
      <c r="Q118" s="3098"/>
      <c r="R118" s="3098"/>
      <c r="S118" s="3099" t="s">
        <v>295</v>
      </c>
      <c r="T118" s="3099" t="s">
        <v>213</v>
      </c>
      <c r="U118" s="3100"/>
      <c r="V118" s="3100" t="s">
        <v>295</v>
      </c>
      <c r="W118" s="3100" t="s">
        <v>145</v>
      </c>
      <c r="X118" s="3100" t="s">
        <v>6800</v>
      </c>
      <c r="Y118" s="3101" t="s">
        <v>119</v>
      </c>
    </row>
    <row r="119" spans="1:25" ht="24" hidden="1">
      <c r="A119" s="1304"/>
      <c r="B119" s="643">
        <v>1505</v>
      </c>
      <c r="C119" s="643" t="s">
        <v>788</v>
      </c>
      <c r="D119" s="3085">
        <v>2</v>
      </c>
      <c r="E119" s="3086" t="str">
        <f t="shared" si="8"/>
        <v>债权投资</v>
      </c>
      <c r="F119" s="3087" t="s">
        <v>789</v>
      </c>
      <c r="G119" s="3088">
        <f t="shared" si="9"/>
        <v>0</v>
      </c>
      <c r="H119" s="3089">
        <f t="shared" ca="1" si="14"/>
        <v>0</v>
      </c>
      <c r="I119" s="3091" t="s">
        <v>6803</v>
      </c>
      <c r="J119" s="3070"/>
      <c r="K119" s="3088">
        <f t="shared" si="13"/>
        <v>0</v>
      </c>
      <c r="L119" s="3069" t="s">
        <v>6799</v>
      </c>
      <c r="M119" s="3091" t="s">
        <v>6803</v>
      </c>
      <c r="N119" s="3070"/>
      <c r="O119" s="3097"/>
      <c r="P119" s="3098"/>
      <c r="Q119" s="3098"/>
      <c r="R119" s="3098"/>
      <c r="S119" s="3099" t="s">
        <v>295</v>
      </c>
      <c r="T119" s="3099" t="s">
        <v>213</v>
      </c>
      <c r="U119" s="3100"/>
      <c r="V119" s="3100" t="s">
        <v>295</v>
      </c>
      <c r="W119" s="3100" t="s">
        <v>145</v>
      </c>
      <c r="X119" s="3100" t="s">
        <v>6800</v>
      </c>
      <c r="Y119" s="3101" t="s">
        <v>119</v>
      </c>
    </row>
    <row r="120" spans="1:25" ht="24" hidden="1">
      <c r="A120" s="1304"/>
      <c r="B120" s="643">
        <v>1505</v>
      </c>
      <c r="C120" s="643" t="s">
        <v>792</v>
      </c>
      <c r="D120" s="3085">
        <v>2</v>
      </c>
      <c r="E120" s="3086" t="str">
        <f t="shared" si="8"/>
        <v>债权投资</v>
      </c>
      <c r="F120" s="3087" t="s">
        <v>793</v>
      </c>
      <c r="G120" s="3088">
        <f t="shared" si="9"/>
        <v>0</v>
      </c>
      <c r="H120" s="3089">
        <f t="shared" ca="1" si="14"/>
        <v>0</v>
      </c>
      <c r="I120" s="3091" t="s">
        <v>6803</v>
      </c>
      <c r="J120" s="3070"/>
      <c r="K120" s="3088">
        <f t="shared" si="13"/>
        <v>0</v>
      </c>
      <c r="L120" s="3069" t="s">
        <v>6799</v>
      </c>
      <c r="M120" s="3091" t="s">
        <v>6803</v>
      </c>
      <c r="N120" s="3070"/>
      <c r="O120" s="3097"/>
      <c r="P120" s="3098"/>
      <c r="Q120" s="3098"/>
      <c r="R120" s="3098"/>
      <c r="S120" s="3099" t="s">
        <v>295</v>
      </c>
      <c r="T120" s="3099" t="s">
        <v>213</v>
      </c>
      <c r="U120" s="3100"/>
      <c r="V120" s="3100" t="s">
        <v>295</v>
      </c>
      <c r="W120" s="3100" t="s">
        <v>145</v>
      </c>
      <c r="X120" s="3100" t="s">
        <v>6800</v>
      </c>
      <c r="Y120" s="3101" t="s">
        <v>119</v>
      </c>
    </row>
    <row r="121" spans="1:25" ht="24" hidden="1">
      <c r="A121" s="1304"/>
      <c r="B121" s="643">
        <v>1505</v>
      </c>
      <c r="C121" s="643" t="s">
        <v>795</v>
      </c>
      <c r="D121" s="3085">
        <v>2</v>
      </c>
      <c r="E121" s="3086" t="str">
        <f t="shared" si="8"/>
        <v>债权投资</v>
      </c>
      <c r="F121" s="3087" t="s">
        <v>796</v>
      </c>
      <c r="G121" s="3088">
        <f t="shared" si="9"/>
        <v>0</v>
      </c>
      <c r="H121" s="3089">
        <f t="shared" ca="1" si="14"/>
        <v>0</v>
      </c>
      <c r="I121" s="3091" t="s">
        <v>6803</v>
      </c>
      <c r="J121" s="3070"/>
      <c r="K121" s="3088">
        <f t="shared" si="13"/>
        <v>0</v>
      </c>
      <c r="L121" s="3069" t="s">
        <v>6799</v>
      </c>
      <c r="M121" s="3091" t="s">
        <v>6803</v>
      </c>
      <c r="N121" s="3070"/>
      <c r="O121" s="3097"/>
      <c r="P121" s="3098"/>
      <c r="Q121" s="3098"/>
      <c r="R121" s="3098"/>
      <c r="S121" s="3099" t="s">
        <v>295</v>
      </c>
      <c r="T121" s="3099" t="s">
        <v>213</v>
      </c>
      <c r="U121" s="3100"/>
      <c r="V121" s="3100" t="s">
        <v>295</v>
      </c>
      <c r="W121" s="3100" t="s">
        <v>145</v>
      </c>
      <c r="X121" s="3100" t="s">
        <v>6800</v>
      </c>
      <c r="Y121" s="3101" t="s">
        <v>119</v>
      </c>
    </row>
    <row r="122" spans="1:25" ht="24" hidden="1">
      <c r="A122" s="1304"/>
      <c r="B122" s="643">
        <v>1505</v>
      </c>
      <c r="C122" s="643" t="s">
        <v>799</v>
      </c>
      <c r="D122" s="3085">
        <v>2</v>
      </c>
      <c r="E122" s="3086" t="str">
        <f t="shared" si="8"/>
        <v>债权投资</v>
      </c>
      <c r="F122" s="3087" t="s">
        <v>785</v>
      </c>
      <c r="G122" s="3088">
        <f t="shared" si="9"/>
        <v>0</v>
      </c>
      <c r="H122" s="3089">
        <f t="shared" ca="1" si="14"/>
        <v>0</v>
      </c>
      <c r="I122" s="3091" t="s">
        <v>6803</v>
      </c>
      <c r="J122" s="3070"/>
      <c r="K122" s="3088">
        <f t="shared" si="13"/>
        <v>0</v>
      </c>
      <c r="L122" s="3069">
        <f ca="1">INDIRECT("Notes!CheckB"&amp;$C122)</f>
        <v>0</v>
      </c>
      <c r="M122" s="3091" t="s">
        <v>6803</v>
      </c>
      <c r="N122" s="3070"/>
      <c r="O122" s="3097"/>
      <c r="P122" s="3098"/>
      <c r="Q122" s="3098"/>
      <c r="R122" s="3098"/>
      <c r="S122" s="3099" t="s">
        <v>295</v>
      </c>
      <c r="T122" s="3099" t="s">
        <v>213</v>
      </c>
      <c r="U122" s="3100"/>
      <c r="V122" s="3100" t="s">
        <v>295</v>
      </c>
      <c r="W122" s="3100" t="s">
        <v>145</v>
      </c>
      <c r="X122" s="3100" t="s">
        <v>6800</v>
      </c>
      <c r="Y122" s="3101" t="s">
        <v>119</v>
      </c>
    </row>
    <row r="123" spans="1:25" ht="36" hidden="1">
      <c r="A123" s="1304"/>
      <c r="B123" s="643">
        <v>1505</v>
      </c>
      <c r="C123" s="643" t="s">
        <v>784</v>
      </c>
      <c r="D123" s="3085">
        <v>2</v>
      </c>
      <c r="E123" s="3086" t="str">
        <f t="shared" si="8"/>
        <v>债权投资</v>
      </c>
      <c r="F123" s="3087" t="s">
        <v>5961</v>
      </c>
      <c r="G123" s="3088">
        <f t="shared" si="9"/>
        <v>0</v>
      </c>
      <c r="H123" s="3089">
        <f t="shared" ca="1" si="14"/>
        <v>0</v>
      </c>
      <c r="I123" s="3091" t="s">
        <v>6803</v>
      </c>
      <c r="J123" s="3070"/>
      <c r="K123" s="3088">
        <f t="shared" si="13"/>
        <v>0</v>
      </c>
      <c r="L123" s="3069" t="s">
        <v>6799</v>
      </c>
      <c r="M123" s="3091" t="s">
        <v>6803</v>
      </c>
      <c r="N123" s="3070"/>
      <c r="O123" s="3097"/>
      <c r="P123" s="3098"/>
      <c r="Q123" s="3098"/>
      <c r="R123" s="3098"/>
      <c r="S123" s="3099" t="s">
        <v>295</v>
      </c>
      <c r="T123" s="3099" t="s">
        <v>213</v>
      </c>
      <c r="U123" s="3100"/>
      <c r="V123" s="3100" t="s">
        <v>295</v>
      </c>
      <c r="W123" s="3100" t="s">
        <v>145</v>
      </c>
      <c r="X123" s="3100" t="s">
        <v>6800</v>
      </c>
      <c r="Y123" s="3101" t="s">
        <v>119</v>
      </c>
    </row>
    <row r="124" spans="1:25" ht="18">
      <c r="A124" s="1304"/>
      <c r="B124" s="643">
        <v>1503</v>
      </c>
      <c r="C124" s="643" t="s">
        <v>804</v>
      </c>
      <c r="D124" s="3085">
        <v>1</v>
      </c>
      <c r="E124" s="3086" t="str">
        <f t="shared" si="8"/>
        <v>可供出售金融资产</v>
      </c>
      <c r="F124" s="3087" t="s">
        <v>805</v>
      </c>
      <c r="G124" s="3088">
        <f t="shared" si="9"/>
        <v>0</v>
      </c>
      <c r="H124" s="3089">
        <f t="shared" ca="1" si="14"/>
        <v>0</v>
      </c>
      <c r="I124" s="3091">
        <f ca="1">IF(AND(LEN(G124)&gt;0,LEN(H124)&gt;0),ROUND(SUM(G124)-SUM(H124),2),"")</f>
        <v>0</v>
      </c>
      <c r="J124" s="3070" t="str">
        <f ca="1">IF(ISNA(I124),"N/A",IF(I124=0,"√","？"))</f>
        <v>√</v>
      </c>
      <c r="K124" s="3088">
        <f t="shared" si="13"/>
        <v>0</v>
      </c>
      <c r="L124" s="3069">
        <f ca="1">INDIRECT("Notes!CheckB"&amp;$C124)</f>
        <v>0</v>
      </c>
      <c r="M124" s="3091">
        <f ca="1">IF(AND(LEN(K124)&gt;0,LEN(L124)&gt;0),ROUND(SUM(K124)-SUM(L124),2),"")</f>
        <v>0</v>
      </c>
      <c r="N124" s="3070" t="str">
        <f ca="1">IF(ISNA(M124),"N/A",IF(M124=0,"√","？"))</f>
        <v>√</v>
      </c>
      <c r="O124" s="3097"/>
      <c r="P124" s="3098"/>
      <c r="Q124" s="3098"/>
      <c r="R124" s="3098"/>
      <c r="S124" s="3099" t="s">
        <v>295</v>
      </c>
      <c r="T124" s="3099" t="s">
        <v>213</v>
      </c>
      <c r="U124" s="3100"/>
      <c r="V124" s="3100" t="s">
        <v>295</v>
      </c>
      <c r="W124" s="3100" t="s">
        <v>6797</v>
      </c>
      <c r="X124" s="3100" t="s">
        <v>6798</v>
      </c>
      <c r="Y124" s="3101" t="s">
        <v>164</v>
      </c>
    </row>
    <row r="125" spans="1:25" ht="24" hidden="1">
      <c r="A125" s="1304"/>
      <c r="B125" s="643">
        <v>1503</v>
      </c>
      <c r="C125" s="643" t="s">
        <v>830</v>
      </c>
      <c r="D125" s="3085">
        <v>2</v>
      </c>
      <c r="E125" s="3086" t="str">
        <f t="shared" si="8"/>
        <v>可供出售金融资产</v>
      </c>
      <c r="F125" s="3087" t="s">
        <v>831</v>
      </c>
      <c r="G125" s="3088">
        <f t="shared" si="9"/>
        <v>0</v>
      </c>
      <c r="H125" s="3089" t="s">
        <v>6799</v>
      </c>
      <c r="I125" s="3091" t="s">
        <v>6803</v>
      </c>
      <c r="J125" s="3070"/>
      <c r="K125" s="3088">
        <f t="shared" si="13"/>
        <v>0</v>
      </c>
      <c r="L125" s="3069" t="s">
        <v>6799</v>
      </c>
      <c r="M125" s="3091" t="s">
        <v>6803</v>
      </c>
      <c r="N125" s="3070"/>
      <c r="O125" s="3097"/>
      <c r="P125" s="3098"/>
      <c r="Q125" s="3098"/>
      <c r="R125" s="3098"/>
      <c r="S125" s="3099" t="s">
        <v>295</v>
      </c>
      <c r="T125" s="3099" t="s">
        <v>213</v>
      </c>
      <c r="U125" s="3100"/>
      <c r="V125" s="3100" t="s">
        <v>295</v>
      </c>
      <c r="W125" s="3100" t="s">
        <v>145</v>
      </c>
      <c r="X125" s="3100" t="s">
        <v>6800</v>
      </c>
      <c r="Y125" s="3101" t="s">
        <v>164</v>
      </c>
    </row>
    <row r="126" spans="1:25" ht="24" hidden="1">
      <c r="A126" s="1304"/>
      <c r="B126" s="643">
        <v>1503</v>
      </c>
      <c r="C126" s="643" t="s">
        <v>813</v>
      </c>
      <c r="D126" s="3085">
        <v>2</v>
      </c>
      <c r="E126" s="3086" t="str">
        <f t="shared" si="8"/>
        <v>可供出售金融资产</v>
      </c>
      <c r="F126" s="3087" t="s">
        <v>814</v>
      </c>
      <c r="G126" s="3088">
        <f t="shared" si="9"/>
        <v>0</v>
      </c>
      <c r="H126" s="3089" t="s">
        <v>6799</v>
      </c>
      <c r="I126" s="3091" t="s">
        <v>6803</v>
      </c>
      <c r="J126" s="3070"/>
      <c r="K126" s="3088">
        <f t="shared" si="13"/>
        <v>0</v>
      </c>
      <c r="L126" s="3069" t="s">
        <v>6799</v>
      </c>
      <c r="M126" s="3091" t="s">
        <v>6803</v>
      </c>
      <c r="N126" s="3070"/>
      <c r="O126" s="3097"/>
      <c r="P126" s="3098"/>
      <c r="Q126" s="3098"/>
      <c r="R126" s="3098"/>
      <c r="S126" s="3099" t="s">
        <v>295</v>
      </c>
      <c r="T126" s="3099" t="s">
        <v>213</v>
      </c>
      <c r="U126" s="3100"/>
      <c r="V126" s="3100" t="s">
        <v>295</v>
      </c>
      <c r="W126" s="3100" t="s">
        <v>145</v>
      </c>
      <c r="X126" s="3100" t="s">
        <v>6800</v>
      </c>
      <c r="Y126" s="3101" t="s">
        <v>164</v>
      </c>
    </row>
    <row r="127" spans="1:25" ht="24" hidden="1">
      <c r="A127" s="1304"/>
      <c r="B127" s="643">
        <v>1503</v>
      </c>
      <c r="C127" s="643" t="s">
        <v>817</v>
      </c>
      <c r="D127" s="3085">
        <v>2</v>
      </c>
      <c r="E127" s="3086" t="str">
        <f t="shared" si="8"/>
        <v>可供出售金融资产</v>
      </c>
      <c r="F127" s="3087" t="s">
        <v>818</v>
      </c>
      <c r="G127" s="3088">
        <f t="shared" si="9"/>
        <v>0</v>
      </c>
      <c r="H127" s="3089" t="s">
        <v>6799</v>
      </c>
      <c r="I127" s="3091" t="s">
        <v>6803</v>
      </c>
      <c r="J127" s="3070"/>
      <c r="K127" s="3088">
        <f t="shared" si="13"/>
        <v>0</v>
      </c>
      <c r="L127" s="3069" t="s">
        <v>6799</v>
      </c>
      <c r="M127" s="3091" t="s">
        <v>6803</v>
      </c>
      <c r="N127" s="3070"/>
      <c r="O127" s="3097"/>
      <c r="P127" s="3098"/>
      <c r="Q127" s="3098"/>
      <c r="R127" s="3098"/>
      <c r="S127" s="3099" t="s">
        <v>295</v>
      </c>
      <c r="T127" s="3099" t="s">
        <v>213</v>
      </c>
      <c r="U127" s="3100"/>
      <c r="V127" s="3100" t="s">
        <v>295</v>
      </c>
      <c r="W127" s="3100" t="s">
        <v>145</v>
      </c>
      <c r="X127" s="3100" t="s">
        <v>6800</v>
      </c>
      <c r="Y127" s="3101" t="s">
        <v>164</v>
      </c>
    </row>
    <row r="128" spans="1:25" ht="24" hidden="1">
      <c r="A128" s="1304"/>
      <c r="B128" s="643">
        <v>1503</v>
      </c>
      <c r="C128" s="643" t="s">
        <v>821</v>
      </c>
      <c r="D128" s="3085">
        <v>2</v>
      </c>
      <c r="E128" s="3086" t="str">
        <f t="shared" si="8"/>
        <v>可供出售金融资产</v>
      </c>
      <c r="F128" s="3087" t="s">
        <v>822</v>
      </c>
      <c r="G128" s="3088">
        <f t="shared" si="9"/>
        <v>0</v>
      </c>
      <c r="H128" s="3089">
        <f ca="1">INDIRECT("Notes!CheckA"&amp;$C128)</f>
        <v>0</v>
      </c>
      <c r="I128" s="3091" t="s">
        <v>6803</v>
      </c>
      <c r="J128" s="3070"/>
      <c r="K128" s="3088">
        <f t="shared" si="13"/>
        <v>0</v>
      </c>
      <c r="L128" s="3069" t="s">
        <v>6799</v>
      </c>
      <c r="M128" s="3091" t="s">
        <v>6803</v>
      </c>
      <c r="N128" s="3070"/>
      <c r="O128" s="3097"/>
      <c r="P128" s="3098"/>
      <c r="Q128" s="3098"/>
      <c r="R128" s="3098"/>
      <c r="S128" s="3099" t="s">
        <v>295</v>
      </c>
      <c r="T128" s="3099" t="s">
        <v>213</v>
      </c>
      <c r="U128" s="3100"/>
      <c r="V128" s="3100" t="s">
        <v>295</v>
      </c>
      <c r="W128" s="3100" t="s">
        <v>145</v>
      </c>
      <c r="X128" s="3100" t="s">
        <v>6800</v>
      </c>
      <c r="Y128" s="3101" t="s">
        <v>164</v>
      </c>
    </row>
    <row r="129" spans="1:25" ht="48" hidden="1">
      <c r="A129" s="1304"/>
      <c r="B129" s="643">
        <v>1503</v>
      </c>
      <c r="C129" s="643" t="s">
        <v>825</v>
      </c>
      <c r="D129" s="3085">
        <v>2</v>
      </c>
      <c r="E129" s="3086" t="str">
        <f t="shared" si="8"/>
        <v>可供出售金融资产</v>
      </c>
      <c r="F129" s="3087" t="s">
        <v>826</v>
      </c>
      <c r="G129" s="3088">
        <f t="shared" si="9"/>
        <v>0</v>
      </c>
      <c r="H129" s="3089" t="s">
        <v>6799</v>
      </c>
      <c r="I129" s="3091" t="s">
        <v>6803</v>
      </c>
      <c r="J129" s="3070"/>
      <c r="K129" s="3088">
        <f t="shared" si="13"/>
        <v>0</v>
      </c>
      <c r="L129" s="3069" t="s">
        <v>6799</v>
      </c>
      <c r="M129" s="3091" t="s">
        <v>6803</v>
      </c>
      <c r="N129" s="3070"/>
      <c r="O129" s="3097"/>
      <c r="P129" s="3098"/>
      <c r="Q129" s="3098"/>
      <c r="R129" s="3098"/>
      <c r="S129" s="3099" t="s">
        <v>295</v>
      </c>
      <c r="T129" s="3099" t="s">
        <v>213</v>
      </c>
      <c r="U129" s="3100"/>
      <c r="V129" s="3100" t="s">
        <v>295</v>
      </c>
      <c r="W129" s="3100" t="s">
        <v>145</v>
      </c>
      <c r="X129" s="3100" t="s">
        <v>6800</v>
      </c>
      <c r="Y129" s="3101" t="s">
        <v>164</v>
      </c>
    </row>
    <row r="130" spans="1:25" ht="18">
      <c r="A130" s="1304"/>
      <c r="B130" s="643">
        <v>1508</v>
      </c>
      <c r="C130" s="643" t="s">
        <v>847</v>
      </c>
      <c r="D130" s="3085">
        <v>1</v>
      </c>
      <c r="E130" s="3086" t="str">
        <f t="shared" si="8"/>
        <v>其他债权投资</v>
      </c>
      <c r="F130" s="3087" t="s">
        <v>848</v>
      </c>
      <c r="G130" s="3088">
        <f t="shared" si="9"/>
        <v>0</v>
      </c>
      <c r="H130" s="3089">
        <f t="shared" ref="H130:H138" ca="1" si="16">INDIRECT("Notes!CheckA"&amp;$C130)</f>
        <v>0</v>
      </c>
      <c r="I130" s="3091">
        <f ca="1">IF(AND(LEN(G130)&gt;0,LEN(H130)&gt;0),ROUND(SUM(G130)-SUM(H130),2),"")</f>
        <v>0</v>
      </c>
      <c r="J130" s="3070" t="str">
        <f ca="1">IF(ISNA(I130),"N/A",IF(I130=0,"√","？"))</f>
        <v>√</v>
      </c>
      <c r="K130" s="3088">
        <f t="shared" si="13"/>
        <v>0</v>
      </c>
      <c r="L130" s="3069">
        <f ca="1">INDIRECT("Notes!CheckB"&amp;$C130)</f>
        <v>0</v>
      </c>
      <c r="M130" s="3091">
        <f ca="1">IF(AND(LEN(K130)&gt;0,LEN(L130)&gt;0),ROUND(SUM(K130)-SUM(L130),2),"")</f>
        <v>0</v>
      </c>
      <c r="N130" s="3070" t="str">
        <f ca="1">IF(ISNA(M130),"N/A",IF(M130=0,"√","？"))</f>
        <v>√</v>
      </c>
      <c r="O130" s="3097"/>
      <c r="P130" s="3098"/>
      <c r="Q130" s="3098"/>
      <c r="R130" s="3098"/>
      <c r="S130" s="3099" t="s">
        <v>295</v>
      </c>
      <c r="T130" s="3099" t="s">
        <v>213</v>
      </c>
      <c r="U130" s="3100"/>
      <c r="V130" s="3100" t="s">
        <v>295</v>
      </c>
      <c r="W130" s="3100" t="s">
        <v>145</v>
      </c>
      <c r="X130" s="3100" t="s">
        <v>6800</v>
      </c>
      <c r="Y130" s="3101" t="s">
        <v>119</v>
      </c>
    </row>
    <row r="131" spans="1:25" ht="24" hidden="1">
      <c r="A131" s="1304"/>
      <c r="B131" s="643">
        <v>1508</v>
      </c>
      <c r="C131" s="643" t="s">
        <v>853</v>
      </c>
      <c r="D131" s="3085">
        <v>2</v>
      </c>
      <c r="E131" s="3086" t="str">
        <f t="shared" si="8"/>
        <v>其他债权投资</v>
      </c>
      <c r="F131" s="3087" t="s">
        <v>854</v>
      </c>
      <c r="G131" s="3088">
        <f t="shared" si="9"/>
        <v>0</v>
      </c>
      <c r="H131" s="3089">
        <f t="shared" ca="1" si="16"/>
        <v>0</v>
      </c>
      <c r="I131" s="3091" t="s">
        <v>6803</v>
      </c>
      <c r="J131" s="3070"/>
      <c r="K131" s="3088">
        <f t="shared" si="13"/>
        <v>0</v>
      </c>
      <c r="L131" s="3069">
        <f ca="1">INDIRECT("Notes!CheckB"&amp;$C131)</f>
        <v>0</v>
      </c>
      <c r="M131" s="3091" t="s">
        <v>6803</v>
      </c>
      <c r="N131" s="3070"/>
      <c r="O131" s="3097"/>
      <c r="P131" s="3098"/>
      <c r="Q131" s="3098"/>
      <c r="R131" s="3098"/>
      <c r="S131" s="3099" t="s">
        <v>295</v>
      </c>
      <c r="T131" s="3099" t="s">
        <v>213</v>
      </c>
      <c r="U131" s="3100"/>
      <c r="V131" s="3100" t="s">
        <v>295</v>
      </c>
      <c r="W131" s="3100" t="s">
        <v>145</v>
      </c>
      <c r="X131" s="3100" t="s">
        <v>6800</v>
      </c>
      <c r="Y131" s="3101" t="s">
        <v>119</v>
      </c>
    </row>
    <row r="132" spans="1:25" ht="36" hidden="1">
      <c r="A132" s="1304"/>
      <c r="B132" s="643">
        <v>1508</v>
      </c>
      <c r="C132" s="643" t="s">
        <v>859</v>
      </c>
      <c r="D132" s="3085">
        <v>2</v>
      </c>
      <c r="E132" s="3086" t="str">
        <f t="shared" si="8"/>
        <v>其他债权投资</v>
      </c>
      <c r="F132" s="3087" t="s">
        <v>6439</v>
      </c>
      <c r="G132" s="3088">
        <f t="shared" si="9"/>
        <v>0</v>
      </c>
      <c r="H132" s="3089">
        <f t="shared" ca="1" si="16"/>
        <v>0</v>
      </c>
      <c r="I132" s="3091" t="s">
        <v>6803</v>
      </c>
      <c r="J132" s="3070"/>
      <c r="K132" s="3088">
        <f t="shared" si="13"/>
        <v>0</v>
      </c>
      <c r="L132" s="3069" t="s">
        <v>6799</v>
      </c>
      <c r="M132" s="3091" t="s">
        <v>6803</v>
      </c>
      <c r="N132" s="3070"/>
      <c r="O132" s="3097"/>
      <c r="P132" s="3098"/>
      <c r="Q132" s="3098"/>
      <c r="R132" s="3098"/>
      <c r="S132" s="3099" t="s">
        <v>295</v>
      </c>
      <c r="T132" s="3099" t="s">
        <v>213</v>
      </c>
      <c r="U132" s="3100"/>
      <c r="V132" s="3100" t="s">
        <v>295</v>
      </c>
      <c r="W132" s="3100" t="s">
        <v>145</v>
      </c>
      <c r="X132" s="3100" t="s">
        <v>6800</v>
      </c>
      <c r="Y132" s="3101" t="s">
        <v>119</v>
      </c>
    </row>
    <row r="133" spans="1:25" ht="24" hidden="1">
      <c r="A133" s="1304"/>
      <c r="B133" s="643">
        <v>1508</v>
      </c>
      <c r="C133" s="643" t="s">
        <v>885</v>
      </c>
      <c r="D133" s="3085">
        <v>2</v>
      </c>
      <c r="E133" s="3086" t="str">
        <f t="shared" si="8"/>
        <v>其他债权投资</v>
      </c>
      <c r="F133" s="3087" t="s">
        <v>886</v>
      </c>
      <c r="G133" s="3088">
        <f t="shared" si="9"/>
        <v>0</v>
      </c>
      <c r="H133" s="3089">
        <f t="shared" ca="1" si="16"/>
        <v>0</v>
      </c>
      <c r="I133" s="3091" t="s">
        <v>6803</v>
      </c>
      <c r="J133" s="3070"/>
      <c r="K133" s="3088">
        <f t="shared" si="13"/>
        <v>0</v>
      </c>
      <c r="L133" s="3069" t="s">
        <v>6799</v>
      </c>
      <c r="M133" s="3091" t="s">
        <v>6803</v>
      </c>
      <c r="N133" s="3070"/>
      <c r="O133" s="3097"/>
      <c r="P133" s="3098"/>
      <c r="Q133" s="3098"/>
      <c r="R133" s="3098"/>
      <c r="S133" s="3099" t="s">
        <v>295</v>
      </c>
      <c r="T133" s="3099" t="s">
        <v>213</v>
      </c>
      <c r="U133" s="3100"/>
      <c r="V133" s="3100" t="s">
        <v>295</v>
      </c>
      <c r="W133" s="3100" t="s">
        <v>145</v>
      </c>
      <c r="X133" s="3100" t="s">
        <v>6800</v>
      </c>
      <c r="Y133" s="3101" t="s">
        <v>119</v>
      </c>
    </row>
    <row r="134" spans="1:25" ht="24" hidden="1">
      <c r="A134" s="1304"/>
      <c r="B134" s="643">
        <v>1508</v>
      </c>
      <c r="C134" s="643" t="s">
        <v>889</v>
      </c>
      <c r="D134" s="3085">
        <v>2</v>
      </c>
      <c r="E134" s="3086" t="str">
        <f t="shared" si="8"/>
        <v>其他债权投资</v>
      </c>
      <c r="F134" s="3087" t="s">
        <v>890</v>
      </c>
      <c r="G134" s="3088">
        <f t="shared" si="9"/>
        <v>0</v>
      </c>
      <c r="H134" s="3089">
        <f t="shared" ca="1" si="16"/>
        <v>0</v>
      </c>
      <c r="I134" s="3091" t="s">
        <v>6803</v>
      </c>
      <c r="J134" s="3070"/>
      <c r="K134" s="3088">
        <f t="shared" si="13"/>
        <v>0</v>
      </c>
      <c r="L134" s="3069" t="s">
        <v>6799</v>
      </c>
      <c r="M134" s="3091" t="s">
        <v>6803</v>
      </c>
      <c r="N134" s="3070"/>
      <c r="O134" s="3097"/>
      <c r="P134" s="3098"/>
      <c r="Q134" s="3098"/>
      <c r="R134" s="3098"/>
      <c r="S134" s="3099" t="s">
        <v>295</v>
      </c>
      <c r="T134" s="3099" t="s">
        <v>213</v>
      </c>
      <c r="U134" s="3100"/>
      <c r="V134" s="3100" t="s">
        <v>295</v>
      </c>
      <c r="W134" s="3100" t="s">
        <v>145</v>
      </c>
      <c r="X134" s="3100" t="s">
        <v>6800</v>
      </c>
      <c r="Y134" s="3101" t="s">
        <v>119</v>
      </c>
    </row>
    <row r="135" spans="1:25" ht="24" hidden="1">
      <c r="A135" s="1304"/>
      <c r="B135" s="643">
        <v>1508</v>
      </c>
      <c r="C135" s="643" t="s">
        <v>894</v>
      </c>
      <c r="D135" s="3085">
        <v>2</v>
      </c>
      <c r="E135" s="3086" t="str">
        <f t="shared" si="8"/>
        <v>其他债权投资</v>
      </c>
      <c r="F135" s="3087" t="s">
        <v>895</v>
      </c>
      <c r="G135" s="3088">
        <f t="shared" si="9"/>
        <v>0</v>
      </c>
      <c r="H135" s="3089">
        <f t="shared" ca="1" si="16"/>
        <v>0</v>
      </c>
      <c r="I135" s="3091" t="s">
        <v>6803</v>
      </c>
      <c r="J135" s="3070"/>
      <c r="K135" s="3088">
        <f t="shared" si="13"/>
        <v>0</v>
      </c>
      <c r="L135" s="3069" t="s">
        <v>6799</v>
      </c>
      <c r="M135" s="3091" t="s">
        <v>6803</v>
      </c>
      <c r="N135" s="3070"/>
      <c r="O135" s="3097"/>
      <c r="P135" s="3098"/>
      <c r="Q135" s="3098"/>
      <c r="R135" s="3098"/>
      <c r="S135" s="3099" t="s">
        <v>295</v>
      </c>
      <c r="T135" s="3099" t="s">
        <v>213</v>
      </c>
      <c r="U135" s="3100"/>
      <c r="V135" s="3100" t="s">
        <v>295</v>
      </c>
      <c r="W135" s="3100" t="s">
        <v>145</v>
      </c>
      <c r="X135" s="3100" t="s">
        <v>6800</v>
      </c>
      <c r="Y135" s="3101" t="s">
        <v>119</v>
      </c>
    </row>
    <row r="136" spans="1:25" ht="24" hidden="1">
      <c r="A136" s="1304"/>
      <c r="B136" s="643">
        <v>1508</v>
      </c>
      <c r="C136" s="643" t="s">
        <v>898</v>
      </c>
      <c r="D136" s="3085">
        <v>2</v>
      </c>
      <c r="E136" s="3086" t="str">
        <f t="shared" si="8"/>
        <v>其他债权投资</v>
      </c>
      <c r="F136" s="3087" t="s">
        <v>881</v>
      </c>
      <c r="G136" s="3088">
        <f t="shared" si="9"/>
        <v>0</v>
      </c>
      <c r="H136" s="3089">
        <f t="shared" ca="1" si="16"/>
        <v>0</v>
      </c>
      <c r="I136" s="3091" t="s">
        <v>6803</v>
      </c>
      <c r="J136" s="3070"/>
      <c r="K136" s="3088">
        <f t="shared" si="13"/>
        <v>0</v>
      </c>
      <c r="L136" s="3069" t="s">
        <v>6799</v>
      </c>
      <c r="M136" s="3091" t="s">
        <v>6803</v>
      </c>
      <c r="N136" s="3070"/>
      <c r="O136" s="3097"/>
      <c r="P136" s="3098"/>
      <c r="Q136" s="3098"/>
      <c r="R136" s="3098"/>
      <c r="S136" s="3099" t="s">
        <v>295</v>
      </c>
      <c r="T136" s="3099" t="s">
        <v>213</v>
      </c>
      <c r="U136" s="3100"/>
      <c r="V136" s="3100" t="s">
        <v>295</v>
      </c>
      <c r="W136" s="3100" t="s">
        <v>145</v>
      </c>
      <c r="X136" s="3100" t="s">
        <v>6800</v>
      </c>
      <c r="Y136" s="3101" t="s">
        <v>119</v>
      </c>
    </row>
    <row r="137" spans="1:25" ht="36" hidden="1">
      <c r="A137" s="1304"/>
      <c r="B137" s="643">
        <v>1508</v>
      </c>
      <c r="C137" s="643" t="s">
        <v>880</v>
      </c>
      <c r="D137" s="3085">
        <v>2</v>
      </c>
      <c r="E137" s="3086" t="str">
        <f t="shared" ref="E137:E200" si="17">IF(ISERROR(VLOOKUP($B137,Sheet_Items,2,0)),"        ----",VLOOKUP($B137,Sheet_Items,2,0))</f>
        <v>其他债权投资</v>
      </c>
      <c r="F137" s="3087" t="s">
        <v>5960</v>
      </c>
      <c r="G137" s="3088">
        <f t="shared" ref="G137:G200" si="18">IF(ISERROR(VLOOKUP($B137,Sheet_Trialbal,6,0)),"        ----",VLOOKUP($B137,Sheet_Trialbal,6,0))</f>
        <v>0</v>
      </c>
      <c r="H137" s="3089">
        <f t="shared" ca="1" si="16"/>
        <v>0</v>
      </c>
      <c r="I137" s="3091" t="s">
        <v>6803</v>
      </c>
      <c r="J137" s="3070"/>
      <c r="K137" s="3088">
        <f t="shared" ref="K137:K157" si="19">IF(ISERROR(VLOOKUP($B137,Sheet_Trialbal,10,0)),"        ----",VLOOKUP($B137,Sheet_Trialbal,10,0))</f>
        <v>0</v>
      </c>
      <c r="L137" s="3069" t="s">
        <v>6799</v>
      </c>
      <c r="M137" s="3091" t="s">
        <v>6803</v>
      </c>
      <c r="N137" s="3070"/>
      <c r="O137" s="3097"/>
      <c r="P137" s="3098"/>
      <c r="Q137" s="3098"/>
      <c r="R137" s="3098"/>
      <c r="S137" s="3099" t="s">
        <v>295</v>
      </c>
      <c r="T137" s="3099" t="s">
        <v>213</v>
      </c>
      <c r="U137" s="3100"/>
      <c r="V137" s="3100" t="s">
        <v>295</v>
      </c>
      <c r="W137" s="3100" t="s">
        <v>145</v>
      </c>
      <c r="X137" s="3100" t="s">
        <v>6800</v>
      </c>
      <c r="Y137" s="3101" t="s">
        <v>119</v>
      </c>
    </row>
    <row r="138" spans="1:25" ht="18">
      <c r="A138" s="1304"/>
      <c r="B138" s="643">
        <v>1501</v>
      </c>
      <c r="C138" s="643" t="s">
        <v>902</v>
      </c>
      <c r="D138" s="3085">
        <v>1</v>
      </c>
      <c r="E138" s="3086" t="str">
        <f t="shared" si="17"/>
        <v>持有至到期投资</v>
      </c>
      <c r="F138" s="3087" t="s">
        <v>903</v>
      </c>
      <c r="G138" s="3088">
        <f t="shared" si="18"/>
        <v>0</v>
      </c>
      <c r="H138" s="3089">
        <f t="shared" ca="1" si="16"/>
        <v>0</v>
      </c>
      <c r="I138" s="3091">
        <f ca="1">IF(AND(LEN(G138)&gt;0,LEN(H138)&gt;0),ROUND(SUM(G138)-SUM(H138),2),"")</f>
        <v>0</v>
      </c>
      <c r="J138" s="3070" t="str">
        <f ca="1">IF(ISNA(I138),"N/A",IF(I138=0,"√","？"))</f>
        <v>√</v>
      </c>
      <c r="K138" s="3088">
        <f t="shared" si="19"/>
        <v>0</v>
      </c>
      <c r="L138" s="3069">
        <f ca="1">INDIRECT("Notes!CheckB"&amp;$C138)</f>
        <v>0</v>
      </c>
      <c r="M138" s="3091">
        <f ca="1">IF(AND(LEN(K138)&gt;0,LEN(L138)&gt;0),ROUND(SUM(K138)-SUM(L138),2),"")</f>
        <v>0</v>
      </c>
      <c r="N138" s="3070" t="str">
        <f ca="1">IF(ISNA(M138),"N/A",IF(M138=0,"√","？"))</f>
        <v>√</v>
      </c>
      <c r="O138" s="3097"/>
      <c r="P138" s="3098"/>
      <c r="Q138" s="3098"/>
      <c r="R138" s="3098"/>
      <c r="S138" s="3099" t="s">
        <v>295</v>
      </c>
      <c r="T138" s="3099" t="s">
        <v>213</v>
      </c>
      <c r="U138" s="3100"/>
      <c r="V138" s="3100" t="s">
        <v>295</v>
      </c>
      <c r="W138" s="3100" t="s">
        <v>6797</v>
      </c>
      <c r="X138" s="3100" t="s">
        <v>6798</v>
      </c>
      <c r="Y138" s="3101" t="s">
        <v>164</v>
      </c>
    </row>
    <row r="139" spans="1:25" ht="18" hidden="1">
      <c r="A139" s="1304"/>
      <c r="B139" s="643">
        <v>1501</v>
      </c>
      <c r="C139" s="643" t="s">
        <v>910</v>
      </c>
      <c r="D139" s="3085">
        <v>2</v>
      </c>
      <c r="E139" s="3086" t="str">
        <f t="shared" si="17"/>
        <v>持有至到期投资</v>
      </c>
      <c r="F139" s="3087" t="s">
        <v>911</v>
      </c>
      <c r="G139" s="3088">
        <f t="shared" si="18"/>
        <v>0</v>
      </c>
      <c r="H139" s="3089" t="s">
        <v>6799</v>
      </c>
      <c r="I139" s="3091" t="s">
        <v>6803</v>
      </c>
      <c r="J139" s="3070"/>
      <c r="K139" s="3088">
        <f t="shared" si="19"/>
        <v>0</v>
      </c>
      <c r="L139" s="3069" t="s">
        <v>6799</v>
      </c>
      <c r="M139" s="3091" t="s">
        <v>6803</v>
      </c>
      <c r="N139" s="3070"/>
      <c r="O139" s="3097"/>
      <c r="P139" s="3098"/>
      <c r="Q139" s="3098"/>
      <c r="R139" s="3098"/>
      <c r="S139" s="3099" t="s">
        <v>295</v>
      </c>
      <c r="T139" s="3099" t="s">
        <v>213</v>
      </c>
      <c r="U139" s="3100"/>
      <c r="V139" s="3100" t="s">
        <v>295</v>
      </c>
      <c r="W139" s="3100" t="s">
        <v>6797</v>
      </c>
      <c r="X139" s="3100" t="s">
        <v>6798</v>
      </c>
      <c r="Y139" s="3101" t="s">
        <v>164</v>
      </c>
    </row>
    <row r="140" spans="1:25" ht="24" hidden="1">
      <c r="A140" s="1304"/>
      <c r="B140" s="643">
        <v>1501</v>
      </c>
      <c r="C140" s="643" t="s">
        <v>917</v>
      </c>
      <c r="D140" s="3085">
        <v>2</v>
      </c>
      <c r="E140" s="3086" t="str">
        <f t="shared" si="17"/>
        <v>持有至到期投资</v>
      </c>
      <c r="F140" s="3087" t="s">
        <v>6440</v>
      </c>
      <c r="G140" s="3088">
        <f t="shared" si="18"/>
        <v>0</v>
      </c>
      <c r="H140" s="3089" t="s">
        <v>6799</v>
      </c>
      <c r="I140" s="3091" t="s">
        <v>6803</v>
      </c>
      <c r="J140" s="3070"/>
      <c r="K140" s="3088">
        <f t="shared" si="19"/>
        <v>0</v>
      </c>
      <c r="L140" s="3069" t="s">
        <v>6799</v>
      </c>
      <c r="M140" s="3091" t="s">
        <v>6803</v>
      </c>
      <c r="N140" s="3070"/>
      <c r="O140" s="3097"/>
      <c r="P140" s="3098"/>
      <c r="Q140" s="3098"/>
      <c r="R140" s="3098"/>
      <c r="S140" s="3099" t="s">
        <v>295</v>
      </c>
      <c r="T140" s="3099" t="s">
        <v>213</v>
      </c>
      <c r="U140" s="3100"/>
      <c r="V140" s="3100" t="s">
        <v>295</v>
      </c>
      <c r="W140" s="3100" t="s">
        <v>6802</v>
      </c>
      <c r="X140" s="3100" t="s">
        <v>213</v>
      </c>
      <c r="Y140" s="3101" t="s">
        <v>164</v>
      </c>
    </row>
    <row r="141" spans="1:25" ht="18" hidden="1">
      <c r="A141" s="1304"/>
      <c r="B141" s="643">
        <v>1501</v>
      </c>
      <c r="C141" s="643" t="s">
        <v>5587</v>
      </c>
      <c r="D141" s="3085">
        <v>2</v>
      </c>
      <c r="E141" s="3086" t="str">
        <f t="shared" si="17"/>
        <v>持有至到期投资</v>
      </c>
      <c r="F141" s="3087" t="s">
        <v>5588</v>
      </c>
      <c r="G141" s="3088">
        <f t="shared" si="18"/>
        <v>0</v>
      </c>
      <c r="H141" s="3089">
        <f t="shared" ref="H141:H147" ca="1" si="20">INDIRECT("Notes!CheckA"&amp;$C141)</f>
        <v>0</v>
      </c>
      <c r="I141" s="3091" t="s">
        <v>6803</v>
      </c>
      <c r="J141" s="3070"/>
      <c r="K141" s="3088">
        <f t="shared" si="19"/>
        <v>0</v>
      </c>
      <c r="L141" s="3069">
        <f ca="1">INDIRECT("Notes!CheckB"&amp;$C141)</f>
        <v>0</v>
      </c>
      <c r="M141" s="3091" t="s">
        <v>6803</v>
      </c>
      <c r="N141" s="3070"/>
      <c r="O141" s="3097"/>
      <c r="P141" s="3098"/>
      <c r="Q141" s="3098"/>
      <c r="R141" s="3098"/>
      <c r="S141" s="3099" t="s">
        <v>295</v>
      </c>
      <c r="T141" s="3099" t="s">
        <v>213</v>
      </c>
      <c r="U141" s="3100"/>
      <c r="V141" s="3100" t="s">
        <v>295</v>
      </c>
      <c r="W141" s="3100" t="s">
        <v>6802</v>
      </c>
      <c r="X141" s="3100" t="s">
        <v>213</v>
      </c>
      <c r="Y141" s="3101" t="s">
        <v>164</v>
      </c>
    </row>
    <row r="142" spans="1:25" ht="18">
      <c r="A142" s="1304"/>
      <c r="B142" s="643">
        <v>1531</v>
      </c>
      <c r="C142" s="643" t="s">
        <v>923</v>
      </c>
      <c r="D142" s="3085">
        <v>1</v>
      </c>
      <c r="E142" s="3086" t="str">
        <f t="shared" si="17"/>
        <v>长期应收款</v>
      </c>
      <c r="F142" s="3087" t="s">
        <v>924</v>
      </c>
      <c r="G142" s="3088">
        <f t="shared" si="18"/>
        <v>0</v>
      </c>
      <c r="H142" s="3089">
        <f t="shared" ca="1" si="20"/>
        <v>0</v>
      </c>
      <c r="I142" s="3091">
        <f ca="1">IF(AND(LEN(G142)&gt;0,LEN(H142)&gt;0),ROUND(SUM(G142)-SUM(H142),2),"")</f>
        <v>0</v>
      </c>
      <c r="J142" s="3070" t="str">
        <f ca="1">IF(ISNA(I142),"N/A",IF(I142=0,"√","？"))</f>
        <v>√</v>
      </c>
      <c r="K142" s="3088">
        <f t="shared" si="19"/>
        <v>0</v>
      </c>
      <c r="L142" s="3069">
        <f ca="1">INDIRECT("Notes!CheckB"&amp;$C142)</f>
        <v>0</v>
      </c>
      <c r="M142" s="3091">
        <f ca="1">IF(AND(LEN(K142)&gt;0,LEN(L142)&gt;0),ROUND(SUM(K142)-SUM(L142),2),"")</f>
        <v>0</v>
      </c>
      <c r="N142" s="3070" t="str">
        <f ca="1">IF(ISNA(M142),"N/A",IF(M142=0,"√","？"))</f>
        <v>√</v>
      </c>
      <c r="O142" s="3097"/>
      <c r="P142" s="3098"/>
      <c r="Q142" s="3098"/>
      <c r="R142" s="3098"/>
      <c r="S142" s="3099" t="s">
        <v>295</v>
      </c>
      <c r="T142" s="3099" t="s">
        <v>213</v>
      </c>
      <c r="U142" s="3100"/>
      <c r="V142" s="3100" t="s">
        <v>295</v>
      </c>
      <c r="W142" s="3100" t="s">
        <v>6797</v>
      </c>
      <c r="X142" s="3100" t="s">
        <v>6798</v>
      </c>
      <c r="Y142" s="3101" t="s">
        <v>164</v>
      </c>
    </row>
    <row r="143" spans="1:25" ht="36" hidden="1">
      <c r="A143" s="1304"/>
      <c r="B143" s="643">
        <v>1531</v>
      </c>
      <c r="C143" s="643" t="s">
        <v>5919</v>
      </c>
      <c r="D143" s="3085">
        <v>2</v>
      </c>
      <c r="E143" s="3086" t="str">
        <f t="shared" si="17"/>
        <v>长期应收款</v>
      </c>
      <c r="F143" s="3087" t="s">
        <v>6441</v>
      </c>
      <c r="G143" s="3088">
        <f t="shared" si="18"/>
        <v>0</v>
      </c>
      <c r="H143" s="3089">
        <f t="shared" ca="1" si="20"/>
        <v>0</v>
      </c>
      <c r="I143" s="3091" t="s">
        <v>6803</v>
      </c>
      <c r="J143" s="3070"/>
      <c r="K143" s="3088">
        <f t="shared" si="19"/>
        <v>0</v>
      </c>
      <c r="L143" s="3069" t="s">
        <v>6799</v>
      </c>
      <c r="M143" s="3091" t="s">
        <v>6803</v>
      </c>
      <c r="N143" s="3070"/>
      <c r="O143" s="3097"/>
      <c r="P143" s="3098"/>
      <c r="Q143" s="3098"/>
      <c r="R143" s="3098"/>
      <c r="S143" s="3099" t="s">
        <v>295</v>
      </c>
      <c r="T143" s="3099" t="s">
        <v>213</v>
      </c>
      <c r="U143" s="3100"/>
      <c r="V143" s="3100" t="s">
        <v>295</v>
      </c>
      <c r="W143" s="3100" t="s">
        <v>145</v>
      </c>
      <c r="X143" s="3100" t="s">
        <v>6800</v>
      </c>
      <c r="Y143" s="3101" t="s">
        <v>119</v>
      </c>
    </row>
    <row r="144" spans="1:25" ht="36" hidden="1">
      <c r="A144" s="1304"/>
      <c r="B144" s="643">
        <v>1531</v>
      </c>
      <c r="C144" s="643" t="s">
        <v>928</v>
      </c>
      <c r="D144" s="3085">
        <v>2</v>
      </c>
      <c r="E144" s="3086" t="str">
        <f t="shared" si="17"/>
        <v>长期应收款</v>
      </c>
      <c r="F144" s="3087" t="s">
        <v>5953</v>
      </c>
      <c r="G144" s="3088">
        <f t="shared" si="18"/>
        <v>0</v>
      </c>
      <c r="H144" s="3089">
        <f t="shared" ca="1" si="20"/>
        <v>0</v>
      </c>
      <c r="I144" s="3091" t="s">
        <v>6803</v>
      </c>
      <c r="J144" s="3070"/>
      <c r="K144" s="3088">
        <f t="shared" si="19"/>
        <v>0</v>
      </c>
      <c r="L144" s="3069" t="s">
        <v>6799</v>
      </c>
      <c r="M144" s="3091" t="s">
        <v>6803</v>
      </c>
      <c r="N144" s="3070"/>
      <c r="O144" s="3097"/>
      <c r="P144" s="3098"/>
      <c r="Q144" s="3098"/>
      <c r="R144" s="3098"/>
      <c r="S144" s="3099" t="s">
        <v>295</v>
      </c>
      <c r="T144" s="3099" t="s">
        <v>213</v>
      </c>
      <c r="U144" s="3100"/>
      <c r="V144" s="3100" t="s">
        <v>295</v>
      </c>
      <c r="W144" s="3100" t="s">
        <v>145</v>
      </c>
      <c r="X144" s="3100" t="s">
        <v>6800</v>
      </c>
      <c r="Y144" s="3101" t="s">
        <v>119</v>
      </c>
    </row>
    <row r="145" spans="1:25" ht="36" hidden="1">
      <c r="A145" s="1304"/>
      <c r="B145" s="643">
        <v>1531</v>
      </c>
      <c r="C145" s="643" t="s">
        <v>931</v>
      </c>
      <c r="D145" s="3085">
        <v>2</v>
      </c>
      <c r="E145" s="3086" t="str">
        <f t="shared" si="17"/>
        <v>长期应收款</v>
      </c>
      <c r="F145" s="3087" t="s">
        <v>5954</v>
      </c>
      <c r="G145" s="3088">
        <f t="shared" si="18"/>
        <v>0</v>
      </c>
      <c r="H145" s="3089">
        <f t="shared" ca="1" si="20"/>
        <v>0</v>
      </c>
      <c r="I145" s="3091" t="s">
        <v>6803</v>
      </c>
      <c r="J145" s="3070"/>
      <c r="K145" s="3088">
        <f t="shared" si="19"/>
        <v>0</v>
      </c>
      <c r="L145" s="3069" t="s">
        <v>6799</v>
      </c>
      <c r="M145" s="3091" t="s">
        <v>6803</v>
      </c>
      <c r="N145" s="3070"/>
      <c r="O145" s="3097"/>
      <c r="P145" s="3098"/>
      <c r="Q145" s="3098"/>
      <c r="R145" s="3098"/>
      <c r="S145" s="3099" t="s">
        <v>295</v>
      </c>
      <c r="T145" s="3099" t="s">
        <v>213</v>
      </c>
      <c r="U145" s="3100"/>
      <c r="V145" s="3100" t="s">
        <v>295</v>
      </c>
      <c r="W145" s="3100" t="s">
        <v>145</v>
      </c>
      <c r="X145" s="3100" t="s">
        <v>6800</v>
      </c>
      <c r="Y145" s="3101" t="s">
        <v>119</v>
      </c>
    </row>
    <row r="146" spans="1:25" ht="36" hidden="1">
      <c r="A146" s="1304"/>
      <c r="B146" s="643">
        <v>1531</v>
      </c>
      <c r="C146" s="643" t="s">
        <v>934</v>
      </c>
      <c r="D146" s="3085">
        <v>2</v>
      </c>
      <c r="E146" s="3086" t="str">
        <f t="shared" si="17"/>
        <v>长期应收款</v>
      </c>
      <c r="F146" s="3087" t="s">
        <v>5955</v>
      </c>
      <c r="G146" s="3088">
        <f t="shared" si="18"/>
        <v>0</v>
      </c>
      <c r="H146" s="3089">
        <f t="shared" ca="1" si="20"/>
        <v>0</v>
      </c>
      <c r="I146" s="3091" t="s">
        <v>6803</v>
      </c>
      <c r="J146" s="3070"/>
      <c r="K146" s="3088">
        <f t="shared" si="19"/>
        <v>0</v>
      </c>
      <c r="L146" s="3069" t="s">
        <v>6799</v>
      </c>
      <c r="M146" s="3091" t="s">
        <v>6803</v>
      </c>
      <c r="N146" s="3070"/>
      <c r="O146" s="3097"/>
      <c r="P146" s="3098"/>
      <c r="Q146" s="3098"/>
      <c r="R146" s="3098"/>
      <c r="S146" s="3099" t="s">
        <v>295</v>
      </c>
      <c r="T146" s="3099" t="s">
        <v>213</v>
      </c>
      <c r="U146" s="3100"/>
      <c r="V146" s="3100" t="s">
        <v>295</v>
      </c>
      <c r="W146" s="3100" t="s">
        <v>145</v>
      </c>
      <c r="X146" s="3100" t="s">
        <v>6800</v>
      </c>
      <c r="Y146" s="3101" t="s">
        <v>119</v>
      </c>
    </row>
    <row r="147" spans="1:25" ht="36" hidden="1">
      <c r="A147" s="1304"/>
      <c r="B147" s="643">
        <v>1531</v>
      </c>
      <c r="C147" s="643" t="s">
        <v>946</v>
      </c>
      <c r="D147" s="3085">
        <v>2</v>
      </c>
      <c r="E147" s="3086" t="str">
        <f t="shared" si="17"/>
        <v>长期应收款</v>
      </c>
      <c r="F147" s="3087" t="s">
        <v>6442</v>
      </c>
      <c r="G147" s="3088">
        <f t="shared" si="18"/>
        <v>0</v>
      </c>
      <c r="H147" s="3089">
        <f t="shared" ca="1" si="20"/>
        <v>0</v>
      </c>
      <c r="I147" s="3091" t="s">
        <v>6803</v>
      </c>
      <c r="J147" s="3070"/>
      <c r="K147" s="3088">
        <f t="shared" si="19"/>
        <v>0</v>
      </c>
      <c r="L147" s="3069">
        <f ca="1">INDIRECT("Notes!CheckB"&amp;$C147)</f>
        <v>0</v>
      </c>
      <c r="M147" s="3091" t="s">
        <v>6803</v>
      </c>
      <c r="N147" s="3070"/>
      <c r="O147" s="3097"/>
      <c r="P147" s="3098"/>
      <c r="Q147" s="3098"/>
      <c r="R147" s="3098"/>
      <c r="S147" s="3099" t="s">
        <v>295</v>
      </c>
      <c r="T147" s="3099" t="s">
        <v>213</v>
      </c>
      <c r="U147" s="3100"/>
      <c r="V147" s="3100" t="s">
        <v>295</v>
      </c>
      <c r="W147" s="3100" t="s">
        <v>145</v>
      </c>
      <c r="X147" s="3100" t="s">
        <v>6800</v>
      </c>
      <c r="Y147" s="3101" t="s">
        <v>119</v>
      </c>
    </row>
    <row r="148" spans="1:25" ht="48" hidden="1">
      <c r="A148" s="1304"/>
      <c r="B148" s="643">
        <v>1531</v>
      </c>
      <c r="C148" s="643" t="s">
        <v>949</v>
      </c>
      <c r="D148" s="3085">
        <v>2</v>
      </c>
      <c r="E148" s="3086" t="str">
        <f t="shared" si="17"/>
        <v>长期应收款</v>
      </c>
      <c r="F148" s="3087" t="s">
        <v>5956</v>
      </c>
      <c r="G148" s="3088">
        <f t="shared" si="18"/>
        <v>0</v>
      </c>
      <c r="H148" s="3089" t="s">
        <v>6799</v>
      </c>
      <c r="I148" s="3091" t="s">
        <v>6803</v>
      </c>
      <c r="J148" s="3070"/>
      <c r="K148" s="3088">
        <f t="shared" si="19"/>
        <v>0</v>
      </c>
      <c r="L148" s="3069">
        <f ca="1">INDIRECT("Notes!CheckB"&amp;$C148)</f>
        <v>0</v>
      </c>
      <c r="M148" s="3091" t="s">
        <v>6803</v>
      </c>
      <c r="N148" s="3070"/>
      <c r="O148" s="3097"/>
      <c r="P148" s="3098"/>
      <c r="Q148" s="3098"/>
      <c r="R148" s="3098"/>
      <c r="S148" s="3099" t="s">
        <v>295</v>
      </c>
      <c r="T148" s="3099" t="s">
        <v>213</v>
      </c>
      <c r="U148" s="3100"/>
      <c r="V148" s="3100" t="s">
        <v>295</v>
      </c>
      <c r="W148" s="3100" t="s">
        <v>145</v>
      </c>
      <c r="X148" s="3100" t="s">
        <v>6800</v>
      </c>
      <c r="Y148" s="3101" t="s">
        <v>119</v>
      </c>
    </row>
    <row r="149" spans="1:25" ht="36" hidden="1">
      <c r="A149" s="1304"/>
      <c r="B149" s="643">
        <v>1531</v>
      </c>
      <c r="C149" s="643" t="s">
        <v>939</v>
      </c>
      <c r="D149" s="3085">
        <v>2</v>
      </c>
      <c r="E149" s="3086" t="str">
        <f t="shared" si="17"/>
        <v>长期应收款</v>
      </c>
      <c r="F149" s="3087" t="s">
        <v>5957</v>
      </c>
      <c r="G149" s="3088">
        <f t="shared" si="18"/>
        <v>0</v>
      </c>
      <c r="H149" s="3089">
        <f t="shared" ref="H149:H165" ca="1" si="21">INDIRECT("Notes!CheckA"&amp;$C149)</f>
        <v>0</v>
      </c>
      <c r="I149" s="3091" t="s">
        <v>6803</v>
      </c>
      <c r="J149" s="3070"/>
      <c r="K149" s="3088">
        <f t="shared" si="19"/>
        <v>0</v>
      </c>
      <c r="L149" s="3069" t="s">
        <v>6799</v>
      </c>
      <c r="M149" s="3091" t="s">
        <v>6803</v>
      </c>
      <c r="N149" s="3070"/>
      <c r="O149" s="3097"/>
      <c r="P149" s="3098"/>
      <c r="Q149" s="3098"/>
      <c r="R149" s="3098"/>
      <c r="S149" s="3099" t="s">
        <v>295</v>
      </c>
      <c r="T149" s="3099" t="s">
        <v>213</v>
      </c>
      <c r="U149" s="3100"/>
      <c r="V149" s="3100" t="s">
        <v>295</v>
      </c>
      <c r="W149" s="3100" t="s">
        <v>145</v>
      </c>
      <c r="X149" s="3100" t="s">
        <v>213</v>
      </c>
      <c r="Y149" s="3101" t="s">
        <v>119</v>
      </c>
    </row>
    <row r="150" spans="1:25" ht="24" hidden="1">
      <c r="A150" s="1304"/>
      <c r="B150" s="643">
        <v>1531</v>
      </c>
      <c r="C150" s="643" t="s">
        <v>954</v>
      </c>
      <c r="D150" s="3085">
        <v>2</v>
      </c>
      <c r="E150" s="3086" t="str">
        <f t="shared" si="17"/>
        <v>长期应收款</v>
      </c>
      <c r="F150" s="3087" t="s">
        <v>5958</v>
      </c>
      <c r="G150" s="3088">
        <f t="shared" si="18"/>
        <v>0</v>
      </c>
      <c r="H150" s="3089">
        <f t="shared" ca="1" si="21"/>
        <v>0</v>
      </c>
      <c r="I150" s="3091" t="s">
        <v>6803</v>
      </c>
      <c r="J150" s="3070"/>
      <c r="K150" s="3088">
        <f t="shared" si="19"/>
        <v>0</v>
      </c>
      <c r="L150" s="3069">
        <f ca="1">INDIRECT("Notes!CheckB"&amp;$C150)</f>
        <v>0</v>
      </c>
      <c r="M150" s="3091" t="s">
        <v>6803</v>
      </c>
      <c r="N150" s="3070"/>
      <c r="O150" s="3097"/>
      <c r="P150" s="3098"/>
      <c r="Q150" s="3098"/>
      <c r="R150" s="3098"/>
      <c r="S150" s="3099" t="s">
        <v>295</v>
      </c>
      <c r="T150" s="3099" t="s">
        <v>213</v>
      </c>
      <c r="U150" s="3100"/>
      <c r="V150" s="3100" t="s">
        <v>295</v>
      </c>
      <c r="W150" s="3100" t="s">
        <v>145</v>
      </c>
      <c r="X150" s="3100" t="s">
        <v>6800</v>
      </c>
      <c r="Y150" s="3101" t="s">
        <v>119</v>
      </c>
    </row>
    <row r="151" spans="1:25" ht="24" hidden="1">
      <c r="A151" s="1304"/>
      <c r="B151" s="643">
        <v>1531</v>
      </c>
      <c r="C151" s="643" t="s">
        <v>951</v>
      </c>
      <c r="D151" s="3085">
        <v>2</v>
      </c>
      <c r="E151" s="3086" t="str">
        <f t="shared" si="17"/>
        <v>长期应收款</v>
      </c>
      <c r="F151" s="3087" t="s">
        <v>5959</v>
      </c>
      <c r="G151" s="3088">
        <f t="shared" si="18"/>
        <v>0</v>
      </c>
      <c r="H151" s="3089">
        <f t="shared" ca="1" si="21"/>
        <v>0</v>
      </c>
      <c r="I151" s="3091" t="s">
        <v>6803</v>
      </c>
      <c r="J151" s="3070"/>
      <c r="K151" s="3088">
        <f t="shared" si="19"/>
        <v>0</v>
      </c>
      <c r="L151" s="3069" t="s">
        <v>6799</v>
      </c>
      <c r="M151" s="3091" t="s">
        <v>6803</v>
      </c>
      <c r="N151" s="3070"/>
      <c r="O151" s="3097"/>
      <c r="P151" s="3098"/>
      <c r="Q151" s="3098"/>
      <c r="R151" s="3098"/>
      <c r="S151" s="3099" t="s">
        <v>295</v>
      </c>
      <c r="T151" s="3099" t="s">
        <v>213</v>
      </c>
      <c r="U151" s="3100"/>
      <c r="V151" s="3100" t="s">
        <v>295</v>
      </c>
      <c r="W151" s="3100" t="s">
        <v>145</v>
      </c>
      <c r="X151" s="3100" t="s">
        <v>6800</v>
      </c>
      <c r="Y151" s="3101" t="s">
        <v>119</v>
      </c>
    </row>
    <row r="152" spans="1:25" ht="24" hidden="1">
      <c r="A152" s="1304"/>
      <c r="B152" s="643">
        <v>1531</v>
      </c>
      <c r="C152" s="643" t="s">
        <v>973</v>
      </c>
      <c r="D152" s="3085">
        <v>2</v>
      </c>
      <c r="E152" s="3086" t="str">
        <f t="shared" si="17"/>
        <v>长期应收款</v>
      </c>
      <c r="F152" s="3087" t="s">
        <v>956</v>
      </c>
      <c r="G152" s="3088">
        <f t="shared" si="18"/>
        <v>0</v>
      </c>
      <c r="H152" s="3089">
        <f t="shared" ca="1" si="21"/>
        <v>0</v>
      </c>
      <c r="I152" s="3091" t="s">
        <v>6803</v>
      </c>
      <c r="J152" s="3070"/>
      <c r="K152" s="3088">
        <f t="shared" si="19"/>
        <v>0</v>
      </c>
      <c r="L152" s="3069" t="s">
        <v>6799</v>
      </c>
      <c r="M152" s="3091" t="s">
        <v>6803</v>
      </c>
      <c r="N152" s="3070"/>
      <c r="O152" s="3097"/>
      <c r="P152" s="3098"/>
      <c r="Q152" s="3098"/>
      <c r="R152" s="3098"/>
      <c r="S152" s="3099" t="s">
        <v>295</v>
      </c>
      <c r="T152" s="3099" t="s">
        <v>213</v>
      </c>
      <c r="U152" s="3100"/>
      <c r="V152" s="3100" t="s">
        <v>295</v>
      </c>
      <c r="W152" s="3100" t="s">
        <v>6797</v>
      </c>
      <c r="X152" s="3100" t="s">
        <v>6798</v>
      </c>
      <c r="Y152" s="3101" t="s">
        <v>164</v>
      </c>
    </row>
    <row r="153" spans="1:25" ht="36" hidden="1">
      <c r="A153" s="1304"/>
      <c r="B153" s="643">
        <v>1531</v>
      </c>
      <c r="C153" s="643" t="s">
        <v>959</v>
      </c>
      <c r="D153" s="3085">
        <v>2</v>
      </c>
      <c r="E153" s="3086" t="str">
        <f t="shared" si="17"/>
        <v>长期应收款</v>
      </c>
      <c r="F153" s="3087" t="s">
        <v>960</v>
      </c>
      <c r="G153" s="3088">
        <f t="shared" si="18"/>
        <v>0</v>
      </c>
      <c r="H153" s="3089">
        <f t="shared" ca="1" si="21"/>
        <v>0</v>
      </c>
      <c r="I153" s="3091" t="s">
        <v>6803</v>
      </c>
      <c r="J153" s="3070"/>
      <c r="K153" s="3088">
        <f t="shared" si="19"/>
        <v>0</v>
      </c>
      <c r="L153" s="3069" t="s">
        <v>6799</v>
      </c>
      <c r="M153" s="3091" t="s">
        <v>6803</v>
      </c>
      <c r="N153" s="3070"/>
      <c r="O153" s="3097"/>
      <c r="P153" s="3098"/>
      <c r="Q153" s="3098"/>
      <c r="R153" s="3098"/>
      <c r="S153" s="3099" t="s">
        <v>295</v>
      </c>
      <c r="T153" s="3099" t="s">
        <v>213</v>
      </c>
      <c r="U153" s="3100"/>
      <c r="V153" s="3100" t="s">
        <v>295</v>
      </c>
      <c r="W153" s="3100" t="s">
        <v>6797</v>
      </c>
      <c r="X153" s="3100" t="s">
        <v>6798</v>
      </c>
      <c r="Y153" s="3101" t="s">
        <v>164</v>
      </c>
    </row>
    <row r="154" spans="1:25" ht="24" hidden="1">
      <c r="A154" s="1304"/>
      <c r="B154" s="643">
        <v>1531</v>
      </c>
      <c r="C154" s="643" t="s">
        <v>969</v>
      </c>
      <c r="D154" s="3085">
        <v>2</v>
      </c>
      <c r="E154" s="3086" t="str">
        <f t="shared" si="17"/>
        <v>长期应收款</v>
      </c>
      <c r="F154" s="3087" t="s">
        <v>6444</v>
      </c>
      <c r="G154" s="3088">
        <f t="shared" si="18"/>
        <v>0</v>
      </c>
      <c r="H154" s="3089">
        <f t="shared" ca="1" si="21"/>
        <v>0</v>
      </c>
      <c r="I154" s="3091" t="s">
        <v>6803</v>
      </c>
      <c r="J154" s="3070"/>
      <c r="K154" s="3088">
        <f t="shared" si="19"/>
        <v>0</v>
      </c>
      <c r="L154" s="3069">
        <f ca="1">INDIRECT("Notes!CheckB"&amp;$C154)</f>
        <v>0</v>
      </c>
      <c r="M154" s="3091" t="s">
        <v>6803</v>
      </c>
      <c r="N154" s="3070"/>
      <c r="O154" s="3097"/>
      <c r="P154" s="3098"/>
      <c r="Q154" s="3098"/>
      <c r="R154" s="3098"/>
      <c r="S154" s="3099" t="s">
        <v>295</v>
      </c>
      <c r="T154" s="3099" t="s">
        <v>213</v>
      </c>
      <c r="U154" s="3100"/>
      <c r="V154" s="3100" t="s">
        <v>295</v>
      </c>
      <c r="W154" s="3100" t="s">
        <v>6797</v>
      </c>
      <c r="X154" s="3100" t="s">
        <v>213</v>
      </c>
      <c r="Y154" s="3101" t="s">
        <v>164</v>
      </c>
    </row>
    <row r="155" spans="1:25" ht="18" hidden="1">
      <c r="A155" s="1304"/>
      <c r="B155" s="643">
        <v>1531</v>
      </c>
      <c r="C155" s="643" t="s">
        <v>977</v>
      </c>
      <c r="D155" s="3085">
        <v>2</v>
      </c>
      <c r="E155" s="3086" t="str">
        <f t="shared" si="17"/>
        <v>长期应收款</v>
      </c>
      <c r="F155" s="3087" t="s">
        <v>978</v>
      </c>
      <c r="G155" s="3088">
        <f t="shared" si="18"/>
        <v>0</v>
      </c>
      <c r="H155" s="3089">
        <f t="shared" ca="1" si="21"/>
        <v>0</v>
      </c>
      <c r="I155" s="3091" t="s">
        <v>6803</v>
      </c>
      <c r="J155" s="3070"/>
      <c r="K155" s="3088">
        <f t="shared" si="19"/>
        <v>0</v>
      </c>
      <c r="L155" s="3069" t="s">
        <v>6799</v>
      </c>
      <c r="M155" s="3091" t="s">
        <v>6803</v>
      </c>
      <c r="N155" s="3070"/>
      <c r="O155" s="3097"/>
      <c r="P155" s="3098"/>
      <c r="Q155" s="3098"/>
      <c r="R155" s="3098"/>
      <c r="S155" s="3099" t="s">
        <v>295</v>
      </c>
      <c r="T155" s="3099" t="s">
        <v>213</v>
      </c>
      <c r="U155" s="3100"/>
      <c r="V155" s="3100" t="s">
        <v>295</v>
      </c>
      <c r="W155" s="3100" t="s">
        <v>6797</v>
      </c>
      <c r="X155" s="3100" t="s">
        <v>213</v>
      </c>
      <c r="Y155" s="3101" t="s">
        <v>164</v>
      </c>
    </row>
    <row r="156" spans="1:25" ht="18">
      <c r="A156" s="1304"/>
      <c r="B156" s="643">
        <v>1511</v>
      </c>
      <c r="C156" s="643" t="s">
        <v>5621</v>
      </c>
      <c r="D156" s="3085">
        <v>1</v>
      </c>
      <c r="E156" s="3086" t="str">
        <f t="shared" si="17"/>
        <v>长期股权投资</v>
      </c>
      <c r="F156" s="3087" t="s">
        <v>5623</v>
      </c>
      <c r="G156" s="3088">
        <f t="shared" si="18"/>
        <v>0</v>
      </c>
      <c r="H156" s="3089">
        <f t="shared" ca="1" si="21"/>
        <v>0</v>
      </c>
      <c r="I156" s="3091">
        <f ca="1">IF(AND(LEN(G156)&gt;0,LEN(H156)&gt;0),ROUND(SUM(G156)-SUM(H156),2),"")</f>
        <v>0</v>
      </c>
      <c r="J156" s="3070" t="str">
        <f ca="1">IF(ISNA(I156),"N/A",IF(I156=0,"√","？"))</f>
        <v>√</v>
      </c>
      <c r="K156" s="3088">
        <f t="shared" si="19"/>
        <v>0</v>
      </c>
      <c r="L156" s="3069">
        <f ca="1">INDIRECT("Notes!CheckB"&amp;$C156)</f>
        <v>0</v>
      </c>
      <c r="M156" s="3091">
        <f ca="1">IF(AND(LEN(K156)&gt;0,LEN(L156)&gt;0),ROUND(SUM(K156)-SUM(L156),2),"")</f>
        <v>0</v>
      </c>
      <c r="N156" s="3070" t="str">
        <f ca="1">IF(ISNA(M156),"N/A",IF(M156=0,"√","？"))</f>
        <v>√</v>
      </c>
      <c r="O156" s="3097"/>
      <c r="P156" s="3098"/>
      <c r="Q156" s="3098"/>
      <c r="R156" s="3098"/>
      <c r="S156" s="3099" t="s">
        <v>295</v>
      </c>
      <c r="T156" s="3099" t="s">
        <v>213</v>
      </c>
      <c r="U156" s="3100"/>
      <c r="V156" s="3100" t="s">
        <v>295</v>
      </c>
      <c r="W156" s="3100" t="s">
        <v>6797</v>
      </c>
      <c r="X156" s="3100" t="s">
        <v>213</v>
      </c>
      <c r="Y156" s="3101" t="s">
        <v>164</v>
      </c>
    </row>
    <row r="157" spans="1:25" ht="24" hidden="1">
      <c r="A157" s="1304"/>
      <c r="B157" s="643">
        <v>1511</v>
      </c>
      <c r="C157" s="643" t="s">
        <v>5622</v>
      </c>
      <c r="D157" s="3085">
        <v>2</v>
      </c>
      <c r="E157" s="3086" t="str">
        <f t="shared" si="17"/>
        <v>长期股权投资</v>
      </c>
      <c r="F157" s="3087" t="s">
        <v>5624</v>
      </c>
      <c r="G157" s="3088">
        <f t="shared" si="18"/>
        <v>0</v>
      </c>
      <c r="H157" s="3089">
        <f t="shared" ca="1" si="21"/>
        <v>0</v>
      </c>
      <c r="I157" s="3091" t="s">
        <v>6803</v>
      </c>
      <c r="J157" s="3070"/>
      <c r="K157" s="3088">
        <f t="shared" si="19"/>
        <v>0</v>
      </c>
      <c r="L157" s="3069">
        <f ca="1">INDIRECT("Notes!CheckB"&amp;$C157)</f>
        <v>0</v>
      </c>
      <c r="M157" s="3091" t="s">
        <v>6803</v>
      </c>
      <c r="N157" s="3070"/>
      <c r="O157" s="3097"/>
      <c r="P157" s="3098"/>
      <c r="Q157" s="3098"/>
      <c r="R157" s="3098"/>
      <c r="S157" s="3099" t="s">
        <v>295</v>
      </c>
      <c r="T157" s="3099" t="s">
        <v>213</v>
      </c>
      <c r="U157" s="3100"/>
      <c r="V157" s="3100" t="s">
        <v>295</v>
      </c>
      <c r="W157" s="3100" t="s">
        <v>6797</v>
      </c>
      <c r="X157" s="3100" t="s">
        <v>213</v>
      </c>
      <c r="Y157" s="3101" t="s">
        <v>164</v>
      </c>
    </row>
    <row r="158" spans="1:25" ht="24" hidden="1">
      <c r="A158" s="1304"/>
      <c r="B158" s="643">
        <v>1511</v>
      </c>
      <c r="C158" s="643" t="s">
        <v>982</v>
      </c>
      <c r="D158" s="3085">
        <v>2</v>
      </c>
      <c r="E158" s="3086" t="str">
        <f t="shared" si="17"/>
        <v>长期股权投资</v>
      </c>
      <c r="F158" s="3087" t="s">
        <v>6445</v>
      </c>
      <c r="G158" s="3088">
        <f t="shared" si="18"/>
        <v>0</v>
      </c>
      <c r="H158" s="3089">
        <f t="shared" ca="1" si="21"/>
        <v>0</v>
      </c>
      <c r="I158" s="3091" t="s">
        <v>6803</v>
      </c>
      <c r="J158" s="3070"/>
      <c r="K158" s="3088"/>
      <c r="L158" s="3069"/>
      <c r="M158" s="3091" t="s">
        <v>6803</v>
      </c>
      <c r="N158" s="3070"/>
      <c r="O158" s="3097"/>
      <c r="P158" s="3098"/>
      <c r="Q158" s="3098"/>
      <c r="R158" s="3098"/>
      <c r="S158" s="3099" t="s">
        <v>295</v>
      </c>
      <c r="T158" s="3099" t="s">
        <v>213</v>
      </c>
      <c r="U158" s="3100"/>
      <c r="V158" s="3100" t="s">
        <v>295</v>
      </c>
      <c r="W158" s="3100" t="s">
        <v>6797</v>
      </c>
      <c r="X158" s="3100" t="s">
        <v>6798</v>
      </c>
      <c r="Y158" s="3101" t="s">
        <v>164</v>
      </c>
    </row>
    <row r="159" spans="1:25" ht="18">
      <c r="A159" s="1304"/>
      <c r="B159" s="643">
        <v>1538</v>
      </c>
      <c r="C159" s="643" t="s">
        <v>993</v>
      </c>
      <c r="D159" s="3085">
        <v>1</v>
      </c>
      <c r="E159" s="3086" t="str">
        <f t="shared" si="17"/>
        <v>其他权益工具投资</v>
      </c>
      <c r="F159" s="3087" t="s">
        <v>994</v>
      </c>
      <c r="G159" s="3088">
        <f t="shared" si="18"/>
        <v>0</v>
      </c>
      <c r="H159" s="3089">
        <f t="shared" ca="1" si="21"/>
        <v>0</v>
      </c>
      <c r="I159" s="3091">
        <f ca="1">IF(AND(LEN(G159)&gt;0,LEN(H159)&gt;0),ROUND(SUM(G159)-SUM(H159),2),"")</f>
        <v>0</v>
      </c>
      <c r="J159" s="3070" t="str">
        <f ca="1">IF(ISNA(I159),"N/A",IF(I159=0,"√","？"))</f>
        <v>√</v>
      </c>
      <c r="K159" s="3088">
        <f t="shared" ref="K159:K222" si="22">IF(ISERROR(VLOOKUP($B159,Sheet_Trialbal,10,0)),"        ----",VLOOKUP($B159,Sheet_Trialbal,10,0))</f>
        <v>0</v>
      </c>
      <c r="L159" s="3069">
        <f ca="1">INDIRECT("Notes!CheckB"&amp;$C159)</f>
        <v>0</v>
      </c>
      <c r="M159" s="3091">
        <f ca="1">IF(AND(LEN(K159)&gt;0,LEN(L159)&gt;0),ROUND(SUM(K159)-SUM(L159),2),"")</f>
        <v>0</v>
      </c>
      <c r="N159" s="3070" t="str">
        <f ca="1">IF(ISNA(M159),"N/A",IF(M159=0,"√","？"))</f>
        <v>√</v>
      </c>
      <c r="O159" s="3097"/>
      <c r="P159" s="3098"/>
      <c r="Q159" s="3098"/>
      <c r="R159" s="3098"/>
      <c r="S159" s="3099" t="s">
        <v>295</v>
      </c>
      <c r="T159" s="3099" t="s">
        <v>213</v>
      </c>
      <c r="U159" s="3100"/>
      <c r="V159" s="3100" t="s">
        <v>295</v>
      </c>
      <c r="W159" s="3100" t="s">
        <v>145</v>
      </c>
      <c r="X159" s="3100" t="s">
        <v>6800</v>
      </c>
      <c r="Y159" s="3101" t="s">
        <v>119</v>
      </c>
    </row>
    <row r="160" spans="1:25" ht="24" hidden="1">
      <c r="A160" s="1304"/>
      <c r="B160" s="643">
        <v>1538</v>
      </c>
      <c r="C160" s="643" t="s">
        <v>1000</v>
      </c>
      <c r="D160" s="3085">
        <v>2</v>
      </c>
      <c r="E160" s="3086" t="str">
        <f t="shared" si="17"/>
        <v>其他权益工具投资</v>
      </c>
      <c r="F160" s="3087" t="s">
        <v>1001</v>
      </c>
      <c r="G160" s="3088">
        <f t="shared" si="18"/>
        <v>0</v>
      </c>
      <c r="H160" s="3089">
        <f t="shared" ca="1" si="21"/>
        <v>0</v>
      </c>
      <c r="I160" s="3091" t="s">
        <v>6803</v>
      </c>
      <c r="J160" s="3070"/>
      <c r="K160" s="3088">
        <f t="shared" si="22"/>
        <v>0</v>
      </c>
      <c r="L160" s="3069" t="s">
        <v>6799</v>
      </c>
      <c r="M160" s="3091" t="s">
        <v>6803</v>
      </c>
      <c r="N160" s="3070"/>
      <c r="O160" s="3097"/>
      <c r="P160" s="3098"/>
      <c r="Q160" s="3098"/>
      <c r="R160" s="3098"/>
      <c r="S160" s="3099" t="s">
        <v>295</v>
      </c>
      <c r="T160" s="3099" t="s">
        <v>213</v>
      </c>
      <c r="U160" s="3100"/>
      <c r="V160" s="3100" t="s">
        <v>295</v>
      </c>
      <c r="W160" s="3100" t="s">
        <v>145</v>
      </c>
      <c r="X160" s="3100" t="s">
        <v>6800</v>
      </c>
      <c r="Y160" s="3101" t="s">
        <v>119</v>
      </c>
    </row>
    <row r="161" spans="1:25" ht="24">
      <c r="A161" s="1304"/>
      <c r="B161" s="643">
        <v>1539</v>
      </c>
      <c r="C161" s="643" t="s">
        <v>1006</v>
      </c>
      <c r="D161" s="3085">
        <v>1</v>
      </c>
      <c r="E161" s="3086" t="str">
        <f t="shared" si="17"/>
        <v>其他非流动金融资产</v>
      </c>
      <c r="F161" s="3087" t="s">
        <v>1007</v>
      </c>
      <c r="G161" s="3088">
        <f t="shared" si="18"/>
        <v>0</v>
      </c>
      <c r="H161" s="3089">
        <f t="shared" ca="1" si="21"/>
        <v>0</v>
      </c>
      <c r="I161" s="3091">
        <f ca="1">IF(AND(LEN(G161)&gt;0,LEN(H161)&gt;0),ROUND(SUM(G161)-SUM(H161),2),"")</f>
        <v>0</v>
      </c>
      <c r="J161" s="3070" t="str">
        <f ca="1">IF(ISNA(I161),"N/A",IF(I161=0,"√","？"))</f>
        <v>√</v>
      </c>
      <c r="K161" s="3088">
        <f t="shared" si="22"/>
        <v>0</v>
      </c>
      <c r="L161" s="3069">
        <f ca="1">INDIRECT("Notes!CheckB"&amp;$C161)</f>
        <v>0</v>
      </c>
      <c r="M161" s="3091">
        <f ca="1">IF(AND(LEN(K161)&gt;0,LEN(L161)&gt;0),ROUND(SUM(K161)-SUM(L161),2),"")</f>
        <v>0</v>
      </c>
      <c r="N161" s="3070" t="str">
        <f ca="1">IF(ISNA(M161),"N/A",IF(M161=0,"√","？"))</f>
        <v>√</v>
      </c>
      <c r="O161" s="3097"/>
      <c r="P161" s="3098"/>
      <c r="Q161" s="3098"/>
      <c r="R161" s="3098"/>
      <c r="S161" s="3099" t="s">
        <v>295</v>
      </c>
      <c r="T161" s="3099" t="s">
        <v>213</v>
      </c>
      <c r="U161" s="3100"/>
      <c r="V161" s="3100" t="s">
        <v>295</v>
      </c>
      <c r="W161" s="3100" t="s">
        <v>145</v>
      </c>
      <c r="X161" s="3100" t="s">
        <v>6800</v>
      </c>
      <c r="Y161" s="3101" t="s">
        <v>119</v>
      </c>
    </row>
    <row r="162" spans="1:25" ht="24" hidden="1">
      <c r="A162" s="1304"/>
      <c r="B162" s="643">
        <v>1539</v>
      </c>
      <c r="C162" s="643" t="s">
        <v>5617</v>
      </c>
      <c r="D162" s="3085">
        <v>2</v>
      </c>
      <c r="E162" s="3086" t="str">
        <f t="shared" si="17"/>
        <v>其他非流动金融资产</v>
      </c>
      <c r="F162" s="3087" t="s">
        <v>5619</v>
      </c>
      <c r="G162" s="3088">
        <f t="shared" si="18"/>
        <v>0</v>
      </c>
      <c r="H162" s="3089">
        <f t="shared" ca="1" si="21"/>
        <v>0</v>
      </c>
      <c r="I162" s="3091" t="s">
        <v>6803</v>
      </c>
      <c r="J162" s="3070"/>
      <c r="K162" s="3088">
        <f t="shared" si="22"/>
        <v>0</v>
      </c>
      <c r="L162" s="3069">
        <f ca="1">INDIRECT("Notes!CheckB"&amp;$C162)</f>
        <v>0</v>
      </c>
      <c r="M162" s="3091" t="s">
        <v>6803</v>
      </c>
      <c r="N162" s="3070"/>
      <c r="O162" s="3097"/>
      <c r="P162" s="3098"/>
      <c r="Q162" s="3098"/>
      <c r="R162" s="3098"/>
      <c r="S162" s="3099" t="s">
        <v>295</v>
      </c>
      <c r="T162" s="3099" t="s">
        <v>213</v>
      </c>
      <c r="U162" s="3100"/>
      <c r="V162" s="3100" t="s">
        <v>295</v>
      </c>
      <c r="W162" s="3100" t="s">
        <v>145</v>
      </c>
      <c r="X162" s="3100" t="s">
        <v>213</v>
      </c>
      <c r="Y162" s="3101" t="s">
        <v>119</v>
      </c>
    </row>
    <row r="163" spans="1:25" ht="24" hidden="1">
      <c r="A163" s="1304"/>
      <c r="B163" s="643">
        <v>1539</v>
      </c>
      <c r="C163" s="643" t="s">
        <v>5618</v>
      </c>
      <c r="D163" s="3085">
        <v>2</v>
      </c>
      <c r="E163" s="3086" t="str">
        <f t="shared" si="17"/>
        <v>其他非流动金融资产</v>
      </c>
      <c r="F163" s="3087" t="s">
        <v>5620</v>
      </c>
      <c r="G163" s="3088">
        <f t="shared" si="18"/>
        <v>0</v>
      </c>
      <c r="H163" s="3089">
        <f t="shared" ca="1" si="21"/>
        <v>0</v>
      </c>
      <c r="I163" s="3091" t="s">
        <v>6803</v>
      </c>
      <c r="J163" s="3070"/>
      <c r="K163" s="3088">
        <f t="shared" si="22"/>
        <v>0</v>
      </c>
      <c r="L163" s="3069">
        <f ca="1">INDIRECT("Notes!CheckB"&amp;$C163)</f>
        <v>0</v>
      </c>
      <c r="M163" s="3091" t="s">
        <v>6803</v>
      </c>
      <c r="N163" s="3070"/>
      <c r="O163" s="3097"/>
      <c r="P163" s="3098"/>
      <c r="Q163" s="3098"/>
      <c r="R163" s="3098"/>
      <c r="S163" s="3099" t="s">
        <v>295</v>
      </c>
      <c r="T163" s="3099" t="s">
        <v>213</v>
      </c>
      <c r="U163" s="3100"/>
      <c r="V163" s="3100" t="s">
        <v>295</v>
      </c>
      <c r="W163" s="3100" t="s">
        <v>145</v>
      </c>
      <c r="X163" s="3100" t="s">
        <v>213</v>
      </c>
      <c r="Y163" s="3101" t="s">
        <v>119</v>
      </c>
    </row>
    <row r="164" spans="1:25" ht="24" hidden="1">
      <c r="A164" s="1304"/>
      <c r="B164" s="643">
        <v>1521</v>
      </c>
      <c r="C164" s="643" t="s">
        <v>1051</v>
      </c>
      <c r="D164" s="3085">
        <v>2</v>
      </c>
      <c r="E164" s="3086" t="str">
        <f t="shared" si="17"/>
        <v>投资性房地产</v>
      </c>
      <c r="F164" s="3087" t="s">
        <v>1052</v>
      </c>
      <c r="G164" s="3088">
        <f t="shared" si="18"/>
        <v>0</v>
      </c>
      <c r="H164" s="3089">
        <f t="shared" ca="1" si="21"/>
        <v>0</v>
      </c>
      <c r="I164" s="3091" t="s">
        <v>6803</v>
      </c>
      <c r="J164" s="3070"/>
      <c r="K164" s="3088">
        <f t="shared" si="22"/>
        <v>0</v>
      </c>
      <c r="L164" s="3069">
        <f ca="1">INDIRECT("Notes!CheckB"&amp;$C164)</f>
        <v>0</v>
      </c>
      <c r="M164" s="3091" t="s">
        <v>6803</v>
      </c>
      <c r="N164" s="3070"/>
      <c r="O164" s="3097"/>
      <c r="P164" s="3098"/>
      <c r="Q164" s="3098"/>
      <c r="R164" s="3098"/>
      <c r="S164" s="3099" t="s">
        <v>295</v>
      </c>
      <c r="T164" s="3099" t="s">
        <v>213</v>
      </c>
      <c r="U164" s="3100">
        <v>1521</v>
      </c>
      <c r="V164" s="3100" t="s">
        <v>295</v>
      </c>
      <c r="W164" s="3100" t="s">
        <v>6797</v>
      </c>
      <c r="X164" s="3100" t="s">
        <v>6798</v>
      </c>
      <c r="Y164" s="3101" t="s">
        <v>164</v>
      </c>
    </row>
    <row r="165" spans="1:25" ht="24" hidden="1">
      <c r="A165" s="1304"/>
      <c r="B165" s="643">
        <v>1521</v>
      </c>
      <c r="C165" s="643" t="s">
        <v>1058</v>
      </c>
      <c r="D165" s="3085">
        <v>2</v>
      </c>
      <c r="E165" s="3086" t="str">
        <f t="shared" si="17"/>
        <v>投资性房地产</v>
      </c>
      <c r="F165" s="3087" t="s">
        <v>1059</v>
      </c>
      <c r="G165" s="3088">
        <f t="shared" si="18"/>
        <v>0</v>
      </c>
      <c r="H165" s="3089">
        <f t="shared" ca="1" si="21"/>
        <v>0</v>
      </c>
      <c r="I165" s="3091" t="s">
        <v>6803</v>
      </c>
      <c r="J165" s="3070"/>
      <c r="K165" s="3088">
        <f t="shared" si="22"/>
        <v>0</v>
      </c>
      <c r="L165" s="3069">
        <f ca="1">INDIRECT("Notes!CheckB"&amp;$C165)</f>
        <v>0</v>
      </c>
      <c r="M165" s="3091" t="s">
        <v>6803</v>
      </c>
      <c r="N165" s="3070"/>
      <c r="O165" s="3097"/>
      <c r="P165" s="3098"/>
      <c r="Q165" s="3098"/>
      <c r="R165" s="3098"/>
      <c r="S165" s="3099" t="s">
        <v>295</v>
      </c>
      <c r="T165" s="3099" t="s">
        <v>213</v>
      </c>
      <c r="U165" s="3100">
        <v>1521</v>
      </c>
      <c r="V165" s="3100" t="s">
        <v>295</v>
      </c>
      <c r="W165" s="3100" t="s">
        <v>6797</v>
      </c>
      <c r="X165" s="3100" t="s">
        <v>6798</v>
      </c>
      <c r="Y165" s="3101" t="s">
        <v>164</v>
      </c>
    </row>
    <row r="166" spans="1:25" ht="24" hidden="1">
      <c r="A166" s="1304"/>
      <c r="B166" s="643">
        <v>1521</v>
      </c>
      <c r="C166" s="643" t="s">
        <v>1062</v>
      </c>
      <c r="D166" s="3085">
        <v>2</v>
      </c>
      <c r="E166" s="3086" t="str">
        <f t="shared" si="17"/>
        <v>投资性房地产</v>
      </c>
      <c r="F166" s="3087" t="s">
        <v>1063</v>
      </c>
      <c r="G166" s="3088">
        <f t="shared" si="18"/>
        <v>0</v>
      </c>
      <c r="H166" s="3089" t="s">
        <v>6799</v>
      </c>
      <c r="I166" s="3091" t="s">
        <v>6803</v>
      </c>
      <c r="J166" s="3070"/>
      <c r="K166" s="3088">
        <f t="shared" si="22"/>
        <v>0</v>
      </c>
      <c r="L166" s="3069" t="s">
        <v>6799</v>
      </c>
      <c r="M166" s="3091" t="s">
        <v>6803</v>
      </c>
      <c r="N166" s="3070"/>
      <c r="O166" s="3097"/>
      <c r="P166" s="3098"/>
      <c r="Q166" s="3098"/>
      <c r="R166" s="3098"/>
      <c r="S166" s="3099" t="s">
        <v>295</v>
      </c>
      <c r="T166" s="3099" t="s">
        <v>213</v>
      </c>
      <c r="U166" s="3100">
        <v>1521</v>
      </c>
      <c r="V166" s="3100" t="s">
        <v>295</v>
      </c>
      <c r="W166" s="3100" t="s">
        <v>6797</v>
      </c>
      <c r="X166" s="3100" t="s">
        <v>6798</v>
      </c>
      <c r="Y166" s="3101" t="s">
        <v>164</v>
      </c>
    </row>
    <row r="167" spans="1:25" ht="18" hidden="1">
      <c r="A167" s="1304"/>
      <c r="B167" s="643">
        <v>1521</v>
      </c>
      <c r="C167" s="643" t="s">
        <v>1088</v>
      </c>
      <c r="D167" s="3085">
        <v>2</v>
      </c>
      <c r="E167" s="3086" t="str">
        <f t="shared" si="17"/>
        <v>投资性房地产</v>
      </c>
      <c r="F167" s="3087" t="s">
        <v>1089</v>
      </c>
      <c r="G167" s="3088">
        <f t="shared" si="18"/>
        <v>0</v>
      </c>
      <c r="H167" s="3089" t="s">
        <v>6799</v>
      </c>
      <c r="I167" s="3091" t="s">
        <v>6803</v>
      </c>
      <c r="J167" s="3070"/>
      <c r="K167" s="3088">
        <f t="shared" si="22"/>
        <v>0</v>
      </c>
      <c r="L167" s="3069" t="s">
        <v>6799</v>
      </c>
      <c r="M167" s="3091" t="s">
        <v>6803</v>
      </c>
      <c r="N167" s="3070"/>
      <c r="O167" s="3097"/>
      <c r="P167" s="3098"/>
      <c r="Q167" s="3098"/>
      <c r="R167" s="3098"/>
      <c r="S167" s="3099" t="s">
        <v>295</v>
      </c>
      <c r="T167" s="3099" t="s">
        <v>213</v>
      </c>
      <c r="U167" s="3100">
        <v>1521</v>
      </c>
      <c r="V167" s="3100" t="s">
        <v>295</v>
      </c>
      <c r="W167" s="3100" t="s">
        <v>6797</v>
      </c>
      <c r="X167" s="3100" t="s">
        <v>213</v>
      </c>
      <c r="Y167" s="3101" t="s">
        <v>164</v>
      </c>
    </row>
    <row r="168" spans="1:25" ht="18">
      <c r="A168" s="1304"/>
      <c r="B168" s="643">
        <v>1611</v>
      </c>
      <c r="C168" s="643" t="s">
        <v>1098</v>
      </c>
      <c r="D168" s="3085">
        <v>1</v>
      </c>
      <c r="E168" s="3086" t="str">
        <f t="shared" si="17"/>
        <v>固定资产（报表项目）</v>
      </c>
      <c r="F168" s="3087" t="s">
        <v>1099</v>
      </c>
      <c r="G168" s="3088">
        <f t="shared" si="18"/>
        <v>0</v>
      </c>
      <c r="H168" s="3089">
        <f t="shared" ref="H168:H173" ca="1" si="23">INDIRECT("Notes!CheckA"&amp;$C168)</f>
        <v>0</v>
      </c>
      <c r="I168" s="3091">
        <f ca="1">IF(AND(LEN(G168)&gt;0,LEN(H168)&gt;0),ROUND(SUM(G168)-SUM(H168),2),"")</f>
        <v>0</v>
      </c>
      <c r="J168" s="3070" t="str">
        <f ca="1">IF(ISNA(I168),"N/A",IF(I168=0,"√","？"))</f>
        <v>√</v>
      </c>
      <c r="K168" s="3088">
        <f t="shared" si="22"/>
        <v>2260.42</v>
      </c>
      <c r="L168" s="3069">
        <f ca="1">INDIRECT("Notes!CheckB"&amp;$C168)</f>
        <v>0</v>
      </c>
      <c r="M168" s="3091">
        <f ca="1">IF(AND(LEN(K168)&gt;0,LEN(L168)&gt;0),ROUND(SUM(K168)-SUM(L168),2),"")</f>
        <v>2260.42</v>
      </c>
      <c r="N168" s="3070" t="str">
        <f ca="1">IF(ISNA(M168),"N/A",IF(M168=0,"√","？"))</f>
        <v>？</v>
      </c>
      <c r="O168" s="3097"/>
      <c r="P168" s="3098"/>
      <c r="Q168" s="3098"/>
      <c r="R168" s="3098"/>
      <c r="S168" s="3099" t="s">
        <v>295</v>
      </c>
      <c r="T168" s="3099" t="s">
        <v>213</v>
      </c>
      <c r="U168" s="3100">
        <v>1611</v>
      </c>
      <c r="V168" s="3100" t="s">
        <v>295</v>
      </c>
      <c r="W168" s="3100" t="s">
        <v>6797</v>
      </c>
      <c r="X168" s="3100" t="s">
        <v>6798</v>
      </c>
      <c r="Y168" s="3101" t="s">
        <v>164</v>
      </c>
    </row>
    <row r="169" spans="1:25" ht="18">
      <c r="A169" s="1304"/>
      <c r="B169" s="643">
        <v>1601</v>
      </c>
      <c r="C169" s="643" t="s">
        <v>1105</v>
      </c>
      <c r="D169" s="3085">
        <v>1</v>
      </c>
      <c r="E169" s="3086" t="str">
        <f t="shared" si="17"/>
        <v>固定资产</v>
      </c>
      <c r="F169" s="3087" t="s">
        <v>1106</v>
      </c>
      <c r="G169" s="3088">
        <f t="shared" si="18"/>
        <v>0</v>
      </c>
      <c r="H169" s="3089">
        <f t="shared" ca="1" si="23"/>
        <v>0</v>
      </c>
      <c r="I169" s="3091">
        <f ca="1">IF(AND(LEN(G169)&gt;0,LEN(H169)&gt;0),ROUND(SUM(G169)-SUM(H169),2),"")</f>
        <v>0</v>
      </c>
      <c r="J169" s="3070" t="str">
        <f ca="1">IF(ISNA(I169),"N/A",IF(I169=0,"√","？"))</f>
        <v>√</v>
      </c>
      <c r="K169" s="3088">
        <f t="shared" si="22"/>
        <v>2260.42</v>
      </c>
      <c r="L169" s="3069">
        <f ca="1">INDIRECT("Notes!CheckB"&amp;$C169)</f>
        <v>2260.42</v>
      </c>
      <c r="M169" s="3091">
        <f ca="1">IF(AND(LEN(K169)&gt;0,LEN(L169)&gt;0),ROUND(SUM(K169)-SUM(L169),2),"")</f>
        <v>0</v>
      </c>
      <c r="N169" s="3070" t="str">
        <f ca="1">IF(ISNA(M169),"N/A",IF(M169=0,"√","？"))</f>
        <v>√</v>
      </c>
      <c r="O169" s="3097"/>
      <c r="P169" s="3098"/>
      <c r="Q169" s="3098"/>
      <c r="R169" s="3098"/>
      <c r="S169" s="3099" t="s">
        <v>295</v>
      </c>
      <c r="T169" s="3099" t="s">
        <v>213</v>
      </c>
      <c r="U169" s="3100">
        <v>1601</v>
      </c>
      <c r="V169" s="3100" t="s">
        <v>295</v>
      </c>
      <c r="W169" s="3100" t="s">
        <v>6797</v>
      </c>
      <c r="X169" s="3100" t="s">
        <v>6798</v>
      </c>
      <c r="Y169" s="3101" t="s">
        <v>164</v>
      </c>
    </row>
    <row r="170" spans="1:25" ht="24" hidden="1">
      <c r="A170" s="1304"/>
      <c r="B170" s="643">
        <v>1601</v>
      </c>
      <c r="C170" s="643" t="s">
        <v>1116</v>
      </c>
      <c r="D170" s="3085">
        <v>2</v>
      </c>
      <c r="E170" s="3086" t="str">
        <f t="shared" si="17"/>
        <v>固定资产</v>
      </c>
      <c r="F170" s="3087" t="s">
        <v>1117</v>
      </c>
      <c r="G170" s="3088">
        <f t="shared" si="18"/>
        <v>0</v>
      </c>
      <c r="H170" s="3089">
        <f t="shared" ca="1" si="23"/>
        <v>0</v>
      </c>
      <c r="I170" s="3091" t="s">
        <v>6803</v>
      </c>
      <c r="J170" s="3070"/>
      <c r="K170" s="3088">
        <f t="shared" si="22"/>
        <v>2260.42</v>
      </c>
      <c r="L170" s="3069" t="s">
        <v>6799</v>
      </c>
      <c r="M170" s="3091" t="s">
        <v>6803</v>
      </c>
      <c r="N170" s="3070"/>
      <c r="O170" s="3097"/>
      <c r="P170" s="3098"/>
      <c r="Q170" s="3098"/>
      <c r="R170" s="3098"/>
      <c r="S170" s="3099" t="s">
        <v>295</v>
      </c>
      <c r="T170" s="3099" t="s">
        <v>213</v>
      </c>
      <c r="U170" s="3100">
        <v>1601</v>
      </c>
      <c r="V170" s="3100" t="s">
        <v>295</v>
      </c>
      <c r="W170" s="3100" t="s">
        <v>6797</v>
      </c>
      <c r="X170" s="3100" t="s">
        <v>6800</v>
      </c>
      <c r="Y170" s="3101" t="s">
        <v>164</v>
      </c>
    </row>
    <row r="171" spans="1:25" ht="24" hidden="1">
      <c r="A171" s="1304"/>
      <c r="B171" s="643">
        <v>1601</v>
      </c>
      <c r="C171" s="643" t="s">
        <v>1120</v>
      </c>
      <c r="D171" s="3085">
        <v>2</v>
      </c>
      <c r="E171" s="3086" t="str">
        <f t="shared" si="17"/>
        <v>固定资产</v>
      </c>
      <c r="F171" s="3087" t="s">
        <v>1121</v>
      </c>
      <c r="G171" s="3088">
        <f t="shared" si="18"/>
        <v>0</v>
      </c>
      <c r="H171" s="3089">
        <f t="shared" ca="1" si="23"/>
        <v>0</v>
      </c>
      <c r="I171" s="3091" t="s">
        <v>6803</v>
      </c>
      <c r="J171" s="3070"/>
      <c r="K171" s="3088">
        <f t="shared" si="22"/>
        <v>2260.42</v>
      </c>
      <c r="L171" s="3069" t="s">
        <v>6799</v>
      </c>
      <c r="M171" s="3091" t="s">
        <v>6803</v>
      </c>
      <c r="N171" s="3070"/>
      <c r="O171" s="3097"/>
      <c r="P171" s="3098"/>
      <c r="Q171" s="3098"/>
      <c r="R171" s="3098"/>
      <c r="S171" s="3099" t="s">
        <v>295</v>
      </c>
      <c r="T171" s="3099" t="s">
        <v>213</v>
      </c>
      <c r="U171" s="3100">
        <v>1601</v>
      </c>
      <c r="V171" s="3100" t="s">
        <v>295</v>
      </c>
      <c r="W171" s="3100" t="s">
        <v>6797</v>
      </c>
      <c r="X171" s="3100" t="s">
        <v>6798</v>
      </c>
      <c r="Y171" s="3101" t="s">
        <v>164</v>
      </c>
    </row>
    <row r="172" spans="1:25" ht="24" hidden="1">
      <c r="A172" s="1304"/>
      <c r="B172" s="643">
        <v>1601</v>
      </c>
      <c r="C172" s="643" t="s">
        <v>1126</v>
      </c>
      <c r="D172" s="3085">
        <v>2</v>
      </c>
      <c r="E172" s="3086" t="str">
        <f t="shared" si="17"/>
        <v>固定资产</v>
      </c>
      <c r="F172" s="3087" t="s">
        <v>1127</v>
      </c>
      <c r="G172" s="3088">
        <f t="shared" si="18"/>
        <v>0</v>
      </c>
      <c r="H172" s="3089">
        <f t="shared" ca="1" si="23"/>
        <v>0</v>
      </c>
      <c r="I172" s="3091" t="s">
        <v>6803</v>
      </c>
      <c r="J172" s="3070"/>
      <c r="K172" s="3088">
        <f t="shared" si="22"/>
        <v>2260.42</v>
      </c>
      <c r="L172" s="3069" t="s">
        <v>6799</v>
      </c>
      <c r="M172" s="3091" t="s">
        <v>6803</v>
      </c>
      <c r="N172" s="3070"/>
      <c r="O172" s="3097"/>
      <c r="P172" s="3098"/>
      <c r="Q172" s="3098"/>
      <c r="R172" s="3098"/>
      <c r="S172" s="3099" t="s">
        <v>295</v>
      </c>
      <c r="T172" s="3099" t="s">
        <v>213</v>
      </c>
      <c r="U172" s="3100">
        <v>1601</v>
      </c>
      <c r="V172" s="3100" t="s">
        <v>295</v>
      </c>
      <c r="W172" s="3100" t="s">
        <v>6797</v>
      </c>
      <c r="X172" s="3100" t="s">
        <v>6798</v>
      </c>
      <c r="Y172" s="3101" t="s">
        <v>164</v>
      </c>
    </row>
    <row r="173" spans="1:25" ht="24" hidden="1">
      <c r="A173" s="1304"/>
      <c r="B173" s="643">
        <v>1601</v>
      </c>
      <c r="C173" s="643" t="s">
        <v>1131</v>
      </c>
      <c r="D173" s="3085">
        <v>2</v>
      </c>
      <c r="E173" s="3086" t="str">
        <f t="shared" si="17"/>
        <v>固定资产</v>
      </c>
      <c r="F173" s="3087" t="s">
        <v>1132</v>
      </c>
      <c r="G173" s="3088">
        <f t="shared" si="18"/>
        <v>0</v>
      </c>
      <c r="H173" s="3089">
        <f t="shared" ca="1" si="23"/>
        <v>0</v>
      </c>
      <c r="I173" s="3091" t="s">
        <v>6803</v>
      </c>
      <c r="J173" s="3070"/>
      <c r="K173" s="3088">
        <f t="shared" si="22"/>
        <v>2260.42</v>
      </c>
      <c r="L173" s="3069">
        <f ca="1">INDIRECT("Notes!CheckB"&amp;$C173)</f>
        <v>0</v>
      </c>
      <c r="M173" s="3091" t="s">
        <v>6803</v>
      </c>
      <c r="N173" s="3070"/>
      <c r="O173" s="3097"/>
      <c r="P173" s="3098"/>
      <c r="Q173" s="3098"/>
      <c r="R173" s="3098"/>
      <c r="S173" s="3099" t="s">
        <v>295</v>
      </c>
      <c r="T173" s="3099" t="s">
        <v>213</v>
      </c>
      <c r="U173" s="3100">
        <v>1601</v>
      </c>
      <c r="V173" s="3100" t="s">
        <v>295</v>
      </c>
      <c r="W173" s="3100" t="s">
        <v>6797</v>
      </c>
      <c r="X173" s="3100" t="s">
        <v>6800</v>
      </c>
      <c r="Y173" s="3101" t="s">
        <v>164</v>
      </c>
    </row>
    <row r="174" spans="1:25" ht="36" hidden="1">
      <c r="A174" s="1304"/>
      <c r="B174" s="643">
        <v>1601</v>
      </c>
      <c r="C174" s="643" t="s">
        <v>1136</v>
      </c>
      <c r="D174" s="3085">
        <v>2</v>
      </c>
      <c r="E174" s="3086" t="str">
        <f t="shared" si="17"/>
        <v>固定资产</v>
      </c>
      <c r="F174" s="3087" t="s">
        <v>1137</v>
      </c>
      <c r="G174" s="3088">
        <f t="shared" si="18"/>
        <v>0</v>
      </c>
      <c r="H174" s="3089" t="s">
        <v>6799</v>
      </c>
      <c r="I174" s="3091" t="s">
        <v>6803</v>
      </c>
      <c r="J174" s="3070"/>
      <c r="K174" s="3088">
        <f t="shared" si="22"/>
        <v>2260.42</v>
      </c>
      <c r="L174" s="3069" t="s">
        <v>6799</v>
      </c>
      <c r="M174" s="3091" t="s">
        <v>6803</v>
      </c>
      <c r="N174" s="3070"/>
      <c r="O174" s="3097"/>
      <c r="P174" s="3098"/>
      <c r="Q174" s="3098"/>
      <c r="R174" s="3098"/>
      <c r="S174" s="3099" t="s">
        <v>295</v>
      </c>
      <c r="T174" s="3099" t="s">
        <v>213</v>
      </c>
      <c r="U174" s="3100">
        <v>1601</v>
      </c>
      <c r="V174" s="3100" t="s">
        <v>295</v>
      </c>
      <c r="W174" s="3100" t="s">
        <v>6797</v>
      </c>
      <c r="X174" s="3100" t="s">
        <v>213</v>
      </c>
      <c r="Y174" s="3101" t="s">
        <v>164</v>
      </c>
    </row>
    <row r="175" spans="1:25" ht="18" hidden="1">
      <c r="A175" s="1304"/>
      <c r="B175" s="643">
        <v>1601</v>
      </c>
      <c r="C175" s="643" t="s">
        <v>1156</v>
      </c>
      <c r="D175" s="3085">
        <v>2</v>
      </c>
      <c r="E175" s="3086" t="str">
        <f t="shared" si="17"/>
        <v>固定资产</v>
      </c>
      <c r="F175" s="3087" t="s">
        <v>1157</v>
      </c>
      <c r="G175" s="3088">
        <f t="shared" si="18"/>
        <v>0</v>
      </c>
      <c r="H175" s="3089" t="s">
        <v>6799</v>
      </c>
      <c r="I175" s="3091" t="s">
        <v>6803</v>
      </c>
      <c r="J175" s="3070"/>
      <c r="K175" s="3088">
        <f t="shared" si="22"/>
        <v>2260.42</v>
      </c>
      <c r="L175" s="3069" t="s">
        <v>6799</v>
      </c>
      <c r="M175" s="3091" t="s">
        <v>6803</v>
      </c>
      <c r="N175" s="3070"/>
      <c r="O175" s="3097"/>
      <c r="P175" s="3098"/>
      <c r="Q175" s="3098"/>
      <c r="R175" s="3098"/>
      <c r="S175" s="3099" t="s">
        <v>295</v>
      </c>
      <c r="T175" s="3099" t="s">
        <v>213</v>
      </c>
      <c r="U175" s="3100">
        <v>1601</v>
      </c>
      <c r="V175" s="3100" t="s">
        <v>295</v>
      </c>
      <c r="W175" s="3100" t="s">
        <v>6797</v>
      </c>
      <c r="X175" s="3100" t="s">
        <v>213</v>
      </c>
      <c r="Y175" s="3101" t="s">
        <v>164</v>
      </c>
    </row>
    <row r="176" spans="1:25" ht="24" hidden="1">
      <c r="A176" s="1304"/>
      <c r="B176" s="643">
        <v>1601</v>
      </c>
      <c r="C176" s="643" t="s">
        <v>1162</v>
      </c>
      <c r="D176" s="3085">
        <v>2</v>
      </c>
      <c r="E176" s="3086" t="str">
        <f t="shared" si="17"/>
        <v>固定资产</v>
      </c>
      <c r="F176" s="3087" t="s">
        <v>1163</v>
      </c>
      <c r="G176" s="3088">
        <f t="shared" si="18"/>
        <v>0</v>
      </c>
      <c r="H176" s="3089">
        <f t="shared" ref="H176:H181" ca="1" si="24">INDIRECT("Notes!CheckA"&amp;$C176)</f>
        <v>0</v>
      </c>
      <c r="I176" s="3091" t="s">
        <v>6803</v>
      </c>
      <c r="J176" s="3070"/>
      <c r="K176" s="3088">
        <f t="shared" si="22"/>
        <v>2260.42</v>
      </c>
      <c r="L176" s="3069" t="s">
        <v>6799</v>
      </c>
      <c r="M176" s="3091" t="s">
        <v>6803</v>
      </c>
      <c r="N176" s="3070"/>
      <c r="O176" s="3097"/>
      <c r="P176" s="3098"/>
      <c r="Q176" s="3098"/>
      <c r="R176" s="3098"/>
      <c r="S176" s="3099" t="s">
        <v>295</v>
      </c>
      <c r="T176" s="3099" t="s">
        <v>213</v>
      </c>
      <c r="U176" s="3100">
        <v>1601</v>
      </c>
      <c r="V176" s="3100" t="s">
        <v>295</v>
      </c>
      <c r="W176" s="3100" t="s">
        <v>6797</v>
      </c>
      <c r="X176" s="3100" t="s">
        <v>213</v>
      </c>
      <c r="Y176" s="3101" t="s">
        <v>164</v>
      </c>
    </row>
    <row r="177" spans="1:25" ht="18">
      <c r="A177" s="1304"/>
      <c r="B177" s="643">
        <v>1606</v>
      </c>
      <c r="C177" s="643" t="s">
        <v>1165</v>
      </c>
      <c r="D177" s="3085">
        <v>1</v>
      </c>
      <c r="E177" s="3086" t="str">
        <f t="shared" si="17"/>
        <v>固定资产清理</v>
      </c>
      <c r="F177" s="3087" t="s">
        <v>1166</v>
      </c>
      <c r="G177" s="3088">
        <f t="shared" si="18"/>
        <v>0</v>
      </c>
      <c r="H177" s="3089">
        <f t="shared" ca="1" si="24"/>
        <v>0</v>
      </c>
      <c r="I177" s="3091">
        <f ca="1">IF(AND(LEN(G177)&gt;0,LEN(H177)&gt;0),ROUND(SUM(G177)-SUM(H177),2),"")</f>
        <v>0</v>
      </c>
      <c r="J177" s="3070" t="str">
        <f ca="1">IF(ISNA(I177),"N/A",IF(I177=0,"√","？"))</f>
        <v>√</v>
      </c>
      <c r="K177" s="3088">
        <f t="shared" si="22"/>
        <v>0</v>
      </c>
      <c r="L177" s="3069">
        <f ca="1">INDIRECT("Notes!CheckB"&amp;$C177)</f>
        <v>0</v>
      </c>
      <c r="M177" s="3091">
        <f ca="1">IF(AND(LEN(K177)&gt;0,LEN(L177)&gt;0),ROUND(SUM(K177)-SUM(L177),2),"")</f>
        <v>0</v>
      </c>
      <c r="N177" s="3070" t="str">
        <f ca="1">IF(ISNA(M177),"N/A",IF(M177=0,"√","？"))</f>
        <v>√</v>
      </c>
      <c r="O177" s="3097"/>
      <c r="P177" s="3098"/>
      <c r="Q177" s="3098"/>
      <c r="R177" s="3098"/>
      <c r="S177" s="3099" t="s">
        <v>295</v>
      </c>
      <c r="T177" s="3099" t="s">
        <v>213</v>
      </c>
      <c r="U177" s="3100"/>
      <c r="V177" s="3100" t="s">
        <v>295</v>
      </c>
      <c r="W177" s="3100" t="s">
        <v>6797</v>
      </c>
      <c r="X177" s="3100" t="s">
        <v>6798</v>
      </c>
      <c r="Y177" s="3101" t="s">
        <v>164</v>
      </c>
    </row>
    <row r="178" spans="1:25" ht="18" hidden="1">
      <c r="A178" s="1304"/>
      <c r="B178" s="643">
        <v>1606</v>
      </c>
      <c r="C178" s="643" t="s">
        <v>1170</v>
      </c>
      <c r="D178" s="3085">
        <v>2</v>
      </c>
      <c r="E178" s="3086" t="str">
        <f t="shared" si="17"/>
        <v>固定资产清理</v>
      </c>
      <c r="F178" s="3087" t="s">
        <v>6446</v>
      </c>
      <c r="G178" s="3088">
        <f t="shared" si="18"/>
        <v>0</v>
      </c>
      <c r="H178" s="3089">
        <f t="shared" ca="1" si="24"/>
        <v>0</v>
      </c>
      <c r="I178" s="3091" t="s">
        <v>6803</v>
      </c>
      <c r="J178" s="3070"/>
      <c r="K178" s="3088">
        <f t="shared" si="22"/>
        <v>0</v>
      </c>
      <c r="L178" s="3069">
        <f ca="1">INDIRECT("Notes!CheckB"&amp;$C178)</f>
        <v>0</v>
      </c>
      <c r="M178" s="3091" t="s">
        <v>6803</v>
      </c>
      <c r="N178" s="3070"/>
      <c r="O178" s="3097"/>
      <c r="P178" s="3098"/>
      <c r="Q178" s="3098"/>
      <c r="R178" s="3098"/>
      <c r="S178" s="3099" t="s">
        <v>295</v>
      </c>
      <c r="T178" s="3099" t="s">
        <v>213</v>
      </c>
      <c r="U178" s="3100"/>
      <c r="V178" s="3100" t="s">
        <v>295</v>
      </c>
      <c r="W178" s="3100" t="s">
        <v>6797</v>
      </c>
      <c r="X178" s="3100" t="s">
        <v>213</v>
      </c>
      <c r="Y178" s="3101" t="s">
        <v>164</v>
      </c>
    </row>
    <row r="179" spans="1:25" ht="18">
      <c r="A179" s="1304"/>
      <c r="B179" s="643">
        <v>1616</v>
      </c>
      <c r="C179" s="643" t="s">
        <v>1174</v>
      </c>
      <c r="D179" s="3085">
        <v>1</v>
      </c>
      <c r="E179" s="3086" t="str">
        <f t="shared" si="17"/>
        <v>在建工程（报表项目）</v>
      </c>
      <c r="F179" s="3087" t="s">
        <v>1175</v>
      </c>
      <c r="G179" s="3088">
        <f t="shared" si="18"/>
        <v>0</v>
      </c>
      <c r="H179" s="3089">
        <f t="shared" ca="1" si="24"/>
        <v>0</v>
      </c>
      <c r="I179" s="3091">
        <f ca="1">IF(AND(LEN(G179)&gt;0,LEN(H179)&gt;0),ROUND(SUM(G179)-SUM(H179),2),"")</f>
        <v>0</v>
      </c>
      <c r="J179" s="3070" t="str">
        <f ca="1">IF(ISNA(I179),"N/A",IF(I179=0,"√","？"))</f>
        <v>√</v>
      </c>
      <c r="K179" s="3088">
        <f t="shared" si="22"/>
        <v>0</v>
      </c>
      <c r="L179" s="3069">
        <f ca="1">INDIRECT("Notes!CheckB"&amp;$C179)</f>
        <v>0</v>
      </c>
      <c r="M179" s="3091">
        <f ca="1">IF(AND(LEN(K179)&gt;0,LEN(L179)&gt;0),ROUND(SUM(K179)-SUM(L179),2),"")</f>
        <v>0</v>
      </c>
      <c r="N179" s="3070" t="str">
        <f ca="1">IF(ISNA(M179),"N/A",IF(M179=0,"√","？"))</f>
        <v>√</v>
      </c>
      <c r="O179" s="3097"/>
      <c r="P179" s="3098"/>
      <c r="Q179" s="3098"/>
      <c r="R179" s="3098"/>
      <c r="S179" s="3099" t="s">
        <v>295</v>
      </c>
      <c r="T179" s="3099" t="s">
        <v>213</v>
      </c>
      <c r="U179" s="3100"/>
      <c r="V179" s="3100" t="s">
        <v>295</v>
      </c>
      <c r="W179" s="3100" t="s">
        <v>6797</v>
      </c>
      <c r="X179" s="3100" t="s">
        <v>6798</v>
      </c>
      <c r="Y179" s="3101" t="s">
        <v>164</v>
      </c>
    </row>
    <row r="180" spans="1:25" ht="18">
      <c r="A180" s="1304"/>
      <c r="B180" s="643">
        <v>1604</v>
      </c>
      <c r="C180" s="643" t="s">
        <v>1179</v>
      </c>
      <c r="D180" s="3085">
        <v>1</v>
      </c>
      <c r="E180" s="3086" t="str">
        <f t="shared" si="17"/>
        <v>在建工程</v>
      </c>
      <c r="F180" s="3087" t="s">
        <v>1180</v>
      </c>
      <c r="G180" s="3088">
        <f t="shared" si="18"/>
        <v>0</v>
      </c>
      <c r="H180" s="3089">
        <f t="shared" ca="1" si="24"/>
        <v>0</v>
      </c>
      <c r="I180" s="3091">
        <f ca="1">IF(AND(LEN(G180)&gt;0,LEN(H180)&gt;0),ROUND(SUM(G180)-SUM(H180),2),"")</f>
        <v>0</v>
      </c>
      <c r="J180" s="3070" t="str">
        <f ca="1">IF(ISNA(I180),"N/A",IF(I180=0,"√","？"))</f>
        <v>√</v>
      </c>
      <c r="K180" s="3088">
        <f t="shared" si="22"/>
        <v>0</v>
      </c>
      <c r="L180" s="3069">
        <f ca="1">INDIRECT("Notes!CheckB"&amp;$C180)</f>
        <v>0</v>
      </c>
      <c r="M180" s="3091">
        <f ca="1">IF(AND(LEN(K180)&gt;0,LEN(L180)&gt;0),ROUND(SUM(K180)-SUM(L180),2),"")</f>
        <v>0</v>
      </c>
      <c r="N180" s="3070" t="str">
        <f ca="1">IF(ISNA(M180),"N/A",IF(M180=0,"√","？"))</f>
        <v>√</v>
      </c>
      <c r="O180" s="3097"/>
      <c r="P180" s="3098"/>
      <c r="Q180" s="3098"/>
      <c r="R180" s="3098"/>
      <c r="S180" s="3099" t="s">
        <v>295</v>
      </c>
      <c r="T180" s="3099" t="s">
        <v>213</v>
      </c>
      <c r="U180" s="3100"/>
      <c r="V180" s="3100" t="s">
        <v>295</v>
      </c>
      <c r="W180" s="3100" t="s">
        <v>6797</v>
      </c>
      <c r="X180" s="3100" t="s">
        <v>6798</v>
      </c>
      <c r="Y180" s="3101" t="s">
        <v>164</v>
      </c>
    </row>
    <row r="181" spans="1:25" ht="24" hidden="1">
      <c r="A181" s="1304"/>
      <c r="B181" s="643">
        <v>1604</v>
      </c>
      <c r="C181" s="643" t="s">
        <v>1190</v>
      </c>
      <c r="D181" s="3085">
        <v>2</v>
      </c>
      <c r="E181" s="3086" t="str">
        <f t="shared" si="17"/>
        <v>在建工程</v>
      </c>
      <c r="F181" s="3087" t="s">
        <v>1191</v>
      </c>
      <c r="G181" s="3088">
        <f t="shared" si="18"/>
        <v>0</v>
      </c>
      <c r="H181" s="3089">
        <f t="shared" ca="1" si="24"/>
        <v>0</v>
      </c>
      <c r="I181" s="3091" t="s">
        <v>6803</v>
      </c>
      <c r="J181" s="3070"/>
      <c r="K181" s="3088">
        <f t="shared" si="22"/>
        <v>0</v>
      </c>
      <c r="L181" s="3069">
        <f ca="1">INDIRECT("Notes!CheckB"&amp;$C181)</f>
        <v>0</v>
      </c>
      <c r="M181" s="3091" t="s">
        <v>6803</v>
      </c>
      <c r="N181" s="3070"/>
      <c r="O181" s="3097"/>
      <c r="P181" s="3098"/>
      <c r="Q181" s="3098"/>
      <c r="R181" s="3098"/>
      <c r="S181" s="3099" t="s">
        <v>295</v>
      </c>
      <c r="T181" s="3099" t="s">
        <v>213</v>
      </c>
      <c r="U181" s="3100"/>
      <c r="V181" s="3100" t="s">
        <v>295</v>
      </c>
      <c r="W181" s="3100" t="s">
        <v>6797</v>
      </c>
      <c r="X181" s="3100" t="s">
        <v>6798</v>
      </c>
      <c r="Y181" s="3101" t="s">
        <v>164</v>
      </c>
    </row>
    <row r="182" spans="1:25" ht="24" hidden="1">
      <c r="A182" s="1304"/>
      <c r="B182" s="643">
        <v>1604</v>
      </c>
      <c r="C182" s="643" t="s">
        <v>1193</v>
      </c>
      <c r="D182" s="3085">
        <v>2</v>
      </c>
      <c r="E182" s="3086" t="str">
        <f t="shared" si="17"/>
        <v>在建工程</v>
      </c>
      <c r="F182" s="3087" t="s">
        <v>1194</v>
      </c>
      <c r="G182" s="3088">
        <f t="shared" si="18"/>
        <v>0</v>
      </c>
      <c r="H182" s="3089" t="s">
        <v>6799</v>
      </c>
      <c r="I182" s="3091" t="s">
        <v>6803</v>
      </c>
      <c r="J182" s="3070"/>
      <c r="K182" s="3088">
        <f t="shared" si="22"/>
        <v>0</v>
      </c>
      <c r="L182" s="3069" t="s">
        <v>6799</v>
      </c>
      <c r="M182" s="3091" t="s">
        <v>6803</v>
      </c>
      <c r="N182" s="3070"/>
      <c r="O182" s="3097"/>
      <c r="P182" s="3098"/>
      <c r="Q182" s="3098"/>
      <c r="R182" s="3098"/>
      <c r="S182" s="3099" t="s">
        <v>295</v>
      </c>
      <c r="T182" s="3099" t="s">
        <v>213</v>
      </c>
      <c r="U182" s="3100"/>
      <c r="V182" s="3100" t="s">
        <v>295</v>
      </c>
      <c r="W182" s="3100" t="s">
        <v>6797</v>
      </c>
      <c r="X182" s="3100" t="s">
        <v>6798</v>
      </c>
      <c r="Y182" s="3101" t="s">
        <v>164</v>
      </c>
    </row>
    <row r="183" spans="1:25" ht="24" hidden="1">
      <c r="A183" s="1304"/>
      <c r="B183" s="643">
        <v>1604</v>
      </c>
      <c r="C183" s="643" t="s">
        <v>1186</v>
      </c>
      <c r="D183" s="3085">
        <v>2</v>
      </c>
      <c r="E183" s="3086" t="str">
        <f t="shared" si="17"/>
        <v>在建工程</v>
      </c>
      <c r="F183" s="3087" t="s">
        <v>6447</v>
      </c>
      <c r="G183" s="3088">
        <f t="shared" si="18"/>
        <v>0</v>
      </c>
      <c r="H183" s="3089">
        <f t="shared" ref="H183:H190" ca="1" si="25">INDIRECT("Notes!CheckA"&amp;$C183)</f>
        <v>0</v>
      </c>
      <c r="I183" s="3091" t="s">
        <v>6803</v>
      </c>
      <c r="J183" s="3070"/>
      <c r="K183" s="3088">
        <f t="shared" si="22"/>
        <v>0</v>
      </c>
      <c r="L183" s="3069">
        <f ca="1">INDIRECT("Notes!CheckB"&amp;$C183)</f>
        <v>0</v>
      </c>
      <c r="M183" s="3091" t="s">
        <v>6803</v>
      </c>
      <c r="N183" s="3070"/>
      <c r="O183" s="3097"/>
      <c r="P183" s="3098"/>
      <c r="Q183" s="3098"/>
      <c r="R183" s="3098"/>
      <c r="S183" s="3099" t="s">
        <v>295</v>
      </c>
      <c r="T183" s="3099" t="s">
        <v>213</v>
      </c>
      <c r="U183" s="3100"/>
      <c r="V183" s="3100" t="s">
        <v>295</v>
      </c>
      <c r="W183" s="3100" t="s">
        <v>145</v>
      </c>
      <c r="X183" s="3100" t="s">
        <v>6800</v>
      </c>
      <c r="Y183" s="3101" t="s">
        <v>164</v>
      </c>
    </row>
    <row r="184" spans="1:25" ht="24" hidden="1">
      <c r="A184" s="1304"/>
      <c r="B184" s="643">
        <v>1604</v>
      </c>
      <c r="C184" s="643" t="s">
        <v>1196</v>
      </c>
      <c r="D184" s="3085">
        <v>2</v>
      </c>
      <c r="E184" s="3086" t="str">
        <f t="shared" si="17"/>
        <v>在建工程</v>
      </c>
      <c r="F184" s="3087" t="s">
        <v>6448</v>
      </c>
      <c r="G184" s="3088">
        <f t="shared" si="18"/>
        <v>0</v>
      </c>
      <c r="H184" s="3089">
        <f t="shared" ca="1" si="25"/>
        <v>0</v>
      </c>
      <c r="I184" s="3091" t="s">
        <v>6803</v>
      </c>
      <c r="J184" s="3070"/>
      <c r="K184" s="3088">
        <f t="shared" si="22"/>
        <v>0</v>
      </c>
      <c r="L184" s="3069" t="s">
        <v>6799</v>
      </c>
      <c r="M184" s="3091" t="s">
        <v>6803</v>
      </c>
      <c r="N184" s="3070"/>
      <c r="O184" s="3097"/>
      <c r="P184" s="3098"/>
      <c r="Q184" s="3098"/>
      <c r="R184" s="3098"/>
      <c r="S184" s="3099" t="s">
        <v>213</v>
      </c>
      <c r="T184" s="3099" t="s">
        <v>213</v>
      </c>
      <c r="U184" s="3100"/>
      <c r="V184" s="3100" t="s">
        <v>295</v>
      </c>
      <c r="W184" s="3100" t="s">
        <v>6802</v>
      </c>
      <c r="X184" s="3100" t="s">
        <v>6801</v>
      </c>
      <c r="Y184" s="3101" t="s">
        <v>164</v>
      </c>
    </row>
    <row r="185" spans="1:25" ht="18">
      <c r="A185" s="1304"/>
      <c r="B185" s="643">
        <v>1605</v>
      </c>
      <c r="C185" s="643" t="s">
        <v>1198</v>
      </c>
      <c r="D185" s="3085">
        <v>1</v>
      </c>
      <c r="E185" s="3086" t="str">
        <f t="shared" si="17"/>
        <v>工程物资</v>
      </c>
      <c r="F185" s="3087" t="s">
        <v>1199</v>
      </c>
      <c r="G185" s="3088">
        <f t="shared" si="18"/>
        <v>0</v>
      </c>
      <c r="H185" s="3089">
        <f t="shared" ca="1" si="25"/>
        <v>0</v>
      </c>
      <c r="I185" s="3091">
        <f ca="1">IF(AND(LEN(G185)&gt;0,LEN(H185)&gt;0),ROUND(SUM(G185)-SUM(H185),2),"")</f>
        <v>0</v>
      </c>
      <c r="J185" s="3070" t="str">
        <f ca="1">IF(ISNA(I185),"N/A",IF(I185=0,"√","？"))</f>
        <v>√</v>
      </c>
      <c r="K185" s="3088">
        <f t="shared" si="22"/>
        <v>0</v>
      </c>
      <c r="L185" s="3069">
        <f ca="1">INDIRECT("Notes!CheckB"&amp;$C185)</f>
        <v>0</v>
      </c>
      <c r="M185" s="3091">
        <f ca="1">IF(AND(LEN(K185)&gt;0,LEN(L185)&gt;0),ROUND(SUM(K185)-SUM(L185),2),"")</f>
        <v>0</v>
      </c>
      <c r="N185" s="3070" t="str">
        <f ca="1">IF(ISNA(M185),"N/A",IF(M185=0,"√","？"))</f>
        <v>√</v>
      </c>
      <c r="O185" s="3097"/>
      <c r="P185" s="3098"/>
      <c r="Q185" s="3098"/>
      <c r="R185" s="3098"/>
      <c r="S185" s="3099" t="s">
        <v>295</v>
      </c>
      <c r="T185" s="3099" t="s">
        <v>213</v>
      </c>
      <c r="U185" s="3100"/>
      <c r="V185" s="3100" t="s">
        <v>295</v>
      </c>
      <c r="W185" s="3100" t="s">
        <v>6797</v>
      </c>
      <c r="X185" s="3100" t="s">
        <v>6798</v>
      </c>
      <c r="Y185" s="3101" t="s">
        <v>164</v>
      </c>
    </row>
    <row r="186" spans="1:25" ht="24">
      <c r="A186" s="1304"/>
      <c r="B186" s="643">
        <v>1621</v>
      </c>
      <c r="C186" s="643" t="s">
        <v>1205</v>
      </c>
      <c r="D186" s="3085">
        <v>1</v>
      </c>
      <c r="E186" s="3086" t="str">
        <f t="shared" si="17"/>
        <v>生产性生物资产</v>
      </c>
      <c r="F186" s="3087" t="s">
        <v>5356</v>
      </c>
      <c r="G186" s="3088">
        <f t="shared" si="18"/>
        <v>0</v>
      </c>
      <c r="H186" s="3089">
        <f t="shared" ca="1" si="25"/>
        <v>0</v>
      </c>
      <c r="I186" s="3091">
        <f ca="1">IF(AND(LEN(G186)&gt;0,LEN(H186)&gt;0),ROUND(SUM(G186)-SUM(H186),2),"")</f>
        <v>0</v>
      </c>
      <c r="J186" s="3070" t="str">
        <f ca="1">IF(ISNA(I186),"N/A",IF(I186=0,"√","？"))</f>
        <v>√</v>
      </c>
      <c r="K186" s="3088">
        <f t="shared" si="22"/>
        <v>0</v>
      </c>
      <c r="L186" s="3069">
        <f ca="1">INDIRECT("Notes!CheckB"&amp;$C186)</f>
        <v>0</v>
      </c>
      <c r="M186" s="3091">
        <f ca="1">IF(AND(LEN(K186)&gt;0,LEN(L186)&gt;0),ROUND(SUM(K186)-SUM(L186),2),"")</f>
        <v>0</v>
      </c>
      <c r="N186" s="3070" t="str">
        <f ca="1">IF(ISNA(M186),"N/A",IF(M186=0,"√","？"))</f>
        <v>√</v>
      </c>
      <c r="O186" s="3097"/>
      <c r="P186" s="3098"/>
      <c r="Q186" s="3098"/>
      <c r="R186" s="3098"/>
      <c r="S186" s="3099" t="s">
        <v>295</v>
      </c>
      <c r="T186" s="3099" t="s">
        <v>213</v>
      </c>
      <c r="U186" s="3100">
        <v>1621</v>
      </c>
      <c r="V186" s="3100" t="s">
        <v>295</v>
      </c>
      <c r="W186" s="3100" t="s">
        <v>6797</v>
      </c>
      <c r="X186" s="3100" t="s">
        <v>6798</v>
      </c>
      <c r="Y186" s="3101" t="s">
        <v>164</v>
      </c>
    </row>
    <row r="187" spans="1:25" ht="24" hidden="1">
      <c r="A187" s="1304"/>
      <c r="B187" s="643">
        <v>1621</v>
      </c>
      <c r="C187" s="643" t="s">
        <v>1223</v>
      </c>
      <c r="D187" s="3085">
        <v>2</v>
      </c>
      <c r="E187" s="3086" t="str">
        <f t="shared" si="17"/>
        <v>生产性生物资产</v>
      </c>
      <c r="F187" s="3087" t="s">
        <v>1224</v>
      </c>
      <c r="G187" s="3088">
        <f t="shared" si="18"/>
        <v>0</v>
      </c>
      <c r="H187" s="3089">
        <f t="shared" ca="1" si="25"/>
        <v>0</v>
      </c>
      <c r="I187" s="3091" t="s">
        <v>6803</v>
      </c>
      <c r="J187" s="3070"/>
      <c r="K187" s="3088">
        <f t="shared" si="22"/>
        <v>0</v>
      </c>
      <c r="L187" s="3069">
        <f ca="1">INDIRECT("Notes!CheckB"&amp;$C187)</f>
        <v>0</v>
      </c>
      <c r="M187" s="3091" t="s">
        <v>6803</v>
      </c>
      <c r="N187" s="3070"/>
      <c r="O187" s="3097"/>
      <c r="P187" s="3098"/>
      <c r="Q187" s="3098"/>
      <c r="R187" s="3098"/>
      <c r="S187" s="3099" t="s">
        <v>295</v>
      </c>
      <c r="T187" s="3099" t="s">
        <v>213</v>
      </c>
      <c r="U187" s="3100">
        <v>1621</v>
      </c>
      <c r="V187" s="3100" t="s">
        <v>295</v>
      </c>
      <c r="W187" s="3100" t="s">
        <v>6797</v>
      </c>
      <c r="X187" s="3100" t="s">
        <v>6798</v>
      </c>
      <c r="Y187" s="3101" t="s">
        <v>164</v>
      </c>
    </row>
    <row r="188" spans="1:25" ht="18">
      <c r="A188" s="1304"/>
      <c r="B188" s="643">
        <v>1631</v>
      </c>
      <c r="C188" s="643" t="s">
        <v>1233</v>
      </c>
      <c r="D188" s="3085">
        <v>1</v>
      </c>
      <c r="E188" s="3086" t="str">
        <f t="shared" si="17"/>
        <v>油气资产</v>
      </c>
      <c r="F188" s="3087" t="s">
        <v>1234</v>
      </c>
      <c r="G188" s="3088">
        <f t="shared" si="18"/>
        <v>0</v>
      </c>
      <c r="H188" s="3089">
        <f t="shared" ca="1" si="25"/>
        <v>0</v>
      </c>
      <c r="I188" s="3091">
        <f ca="1">IF(AND(LEN(G188)&gt;0,LEN(H188)&gt;0),ROUND(SUM(G188)-SUM(H188),2),"")</f>
        <v>0</v>
      </c>
      <c r="J188" s="3070" t="str">
        <f ca="1">IF(ISNA(I188),"N/A",IF(I188=0,"√","？"))</f>
        <v>√</v>
      </c>
      <c r="K188" s="3088">
        <f t="shared" si="22"/>
        <v>0</v>
      </c>
      <c r="L188" s="3069">
        <f ca="1">INDIRECT("Notes!CheckB"&amp;$C188)</f>
        <v>0</v>
      </c>
      <c r="M188" s="3091">
        <f ca="1">IF(AND(LEN(K188)&gt;0,LEN(L188)&gt;0),ROUND(SUM(K188)-SUM(L188),2),"")</f>
        <v>0</v>
      </c>
      <c r="N188" s="3070" t="str">
        <f ca="1">IF(ISNA(M188),"N/A",IF(M188=0,"√","？"))</f>
        <v>√</v>
      </c>
      <c r="O188" s="3097"/>
      <c r="P188" s="3098"/>
      <c r="Q188" s="3098"/>
      <c r="R188" s="3098"/>
      <c r="S188" s="3099" t="s">
        <v>295</v>
      </c>
      <c r="T188" s="3099" t="s">
        <v>213</v>
      </c>
      <c r="U188" s="3100">
        <v>1631</v>
      </c>
      <c r="V188" s="3100" t="s">
        <v>295</v>
      </c>
      <c r="W188" s="3100" t="s">
        <v>6797</v>
      </c>
      <c r="X188" s="3100" t="s">
        <v>6798</v>
      </c>
      <c r="Y188" s="3101" t="s">
        <v>164</v>
      </c>
    </row>
    <row r="189" spans="1:25" ht="18">
      <c r="A189" s="1304"/>
      <c r="B189" s="643">
        <v>1701</v>
      </c>
      <c r="C189" s="643" t="s">
        <v>1245</v>
      </c>
      <c r="D189" s="3085">
        <v>1</v>
      </c>
      <c r="E189" s="3086" t="str">
        <f t="shared" si="17"/>
        <v>无形资产</v>
      </c>
      <c r="F189" s="3087" t="s">
        <v>1280</v>
      </c>
      <c r="G189" s="3088">
        <f t="shared" si="18"/>
        <v>0</v>
      </c>
      <c r="H189" s="3089">
        <f t="shared" ca="1" si="25"/>
        <v>0</v>
      </c>
      <c r="I189" s="3091">
        <f ca="1">IF(AND(LEN(G189)&gt;0,LEN(H189)&gt;0),ROUND(SUM(G189)-SUM(H189),2),"")</f>
        <v>0</v>
      </c>
      <c r="J189" s="3070" t="str">
        <f ca="1">IF(ISNA(I189),"N/A",IF(I189=0,"√","？"))</f>
        <v>√</v>
      </c>
      <c r="K189" s="3088">
        <f t="shared" si="22"/>
        <v>0</v>
      </c>
      <c r="L189" s="3069">
        <f ca="1">INDIRECT("Notes!CheckB"&amp;$C189)</f>
        <v>0</v>
      </c>
      <c r="M189" s="3091">
        <f ca="1">IF(AND(LEN(K189)&gt;0,LEN(L189)&gt;0),ROUND(SUM(K189)-SUM(L189),2),"")</f>
        <v>0</v>
      </c>
      <c r="N189" s="3070" t="str">
        <f ca="1">IF(ISNA(M189),"N/A",IF(M189=0,"√","？"))</f>
        <v>√</v>
      </c>
      <c r="O189" s="3097"/>
      <c r="P189" s="3098"/>
      <c r="Q189" s="3098"/>
      <c r="R189" s="3098"/>
      <c r="S189" s="3099" t="s">
        <v>295</v>
      </c>
      <c r="T189" s="3099" t="s">
        <v>213</v>
      </c>
      <c r="U189" s="3100"/>
      <c r="V189" s="3100" t="s">
        <v>295</v>
      </c>
      <c r="W189" s="3100" t="s">
        <v>6797</v>
      </c>
      <c r="X189" s="3100" t="s">
        <v>6798</v>
      </c>
      <c r="Y189" s="3101" t="s">
        <v>164</v>
      </c>
    </row>
    <row r="190" spans="1:25" ht="24" hidden="1">
      <c r="A190" s="1304"/>
      <c r="B190" s="643">
        <v>1701</v>
      </c>
      <c r="C190" s="643" t="s">
        <v>1264</v>
      </c>
      <c r="D190" s="3085">
        <v>2</v>
      </c>
      <c r="E190" s="3086" t="str">
        <f t="shared" si="17"/>
        <v>无形资产</v>
      </c>
      <c r="F190" s="3087" t="s">
        <v>1265</v>
      </c>
      <c r="G190" s="3088">
        <f t="shared" si="18"/>
        <v>0</v>
      </c>
      <c r="H190" s="3089">
        <f t="shared" ca="1" si="25"/>
        <v>0</v>
      </c>
      <c r="I190" s="3091" t="s">
        <v>6803</v>
      </c>
      <c r="J190" s="3070"/>
      <c r="K190" s="3088">
        <f t="shared" si="22"/>
        <v>0</v>
      </c>
      <c r="L190" s="3069" t="s">
        <v>6799</v>
      </c>
      <c r="M190" s="3091" t="s">
        <v>6803</v>
      </c>
      <c r="N190" s="3070"/>
      <c r="O190" s="3097"/>
      <c r="P190" s="3098"/>
      <c r="Q190" s="3098"/>
      <c r="R190" s="3098"/>
      <c r="S190" s="3099" t="s">
        <v>295</v>
      </c>
      <c r="T190" s="3099" t="s">
        <v>213</v>
      </c>
      <c r="U190" s="3100"/>
      <c r="V190" s="3100" t="s">
        <v>295</v>
      </c>
      <c r="W190" s="3100" t="s">
        <v>6797</v>
      </c>
      <c r="X190" s="3100" t="s">
        <v>6800</v>
      </c>
      <c r="Y190" s="3101" t="s">
        <v>164</v>
      </c>
    </row>
    <row r="191" spans="1:25" ht="36" hidden="1">
      <c r="A191" s="1304"/>
      <c r="B191" s="643">
        <v>1701</v>
      </c>
      <c r="C191" s="643" t="s">
        <v>1269</v>
      </c>
      <c r="D191" s="3085">
        <v>2</v>
      </c>
      <c r="E191" s="3086" t="str">
        <f t="shared" si="17"/>
        <v>无形资产</v>
      </c>
      <c r="F191" s="3087" t="s">
        <v>1270</v>
      </c>
      <c r="G191" s="3088">
        <f t="shared" si="18"/>
        <v>0</v>
      </c>
      <c r="H191" s="3089" t="s">
        <v>6799</v>
      </c>
      <c r="I191" s="3091" t="s">
        <v>6803</v>
      </c>
      <c r="J191" s="3070"/>
      <c r="K191" s="3088">
        <f t="shared" si="22"/>
        <v>0</v>
      </c>
      <c r="L191" s="3069" t="s">
        <v>6799</v>
      </c>
      <c r="M191" s="3091" t="s">
        <v>6803</v>
      </c>
      <c r="N191" s="3070"/>
      <c r="O191" s="3097"/>
      <c r="P191" s="3098"/>
      <c r="Q191" s="3098"/>
      <c r="R191" s="3098"/>
      <c r="S191" s="3099" t="s">
        <v>295</v>
      </c>
      <c r="T191" s="3099" t="s">
        <v>213</v>
      </c>
      <c r="U191" s="3100"/>
      <c r="V191" s="3100" t="s">
        <v>295</v>
      </c>
      <c r="W191" s="3100" t="s">
        <v>6797</v>
      </c>
      <c r="X191" s="3100" t="s">
        <v>213</v>
      </c>
      <c r="Y191" s="3101" t="s">
        <v>164</v>
      </c>
    </row>
    <row r="192" spans="1:25" ht="24" hidden="1">
      <c r="A192" s="1304"/>
      <c r="B192" s="643">
        <v>1701</v>
      </c>
      <c r="C192" s="643" t="s">
        <v>6053</v>
      </c>
      <c r="D192" s="3085">
        <v>2</v>
      </c>
      <c r="E192" s="3086" t="str">
        <f t="shared" si="17"/>
        <v>无形资产</v>
      </c>
      <c r="F192" s="3087" t="s">
        <v>6055</v>
      </c>
      <c r="G192" s="3088">
        <f t="shared" si="18"/>
        <v>0</v>
      </c>
      <c r="H192" s="3089">
        <f ca="1">INDIRECT("Notes!CheckA"&amp;$C192)</f>
        <v>0</v>
      </c>
      <c r="I192" s="3091" t="s">
        <v>6803</v>
      </c>
      <c r="J192" s="3070"/>
      <c r="K192" s="3088">
        <f t="shared" si="22"/>
        <v>0</v>
      </c>
      <c r="L192" s="3069" t="s">
        <v>6799</v>
      </c>
      <c r="M192" s="3091" t="s">
        <v>6803</v>
      </c>
      <c r="N192" s="3070"/>
      <c r="O192" s="3097"/>
      <c r="P192" s="3098"/>
      <c r="Q192" s="3098"/>
      <c r="R192" s="3098"/>
      <c r="S192" s="3099" t="s">
        <v>295</v>
      </c>
      <c r="T192" s="3099" t="s">
        <v>213</v>
      </c>
      <c r="U192" s="3100"/>
      <c r="V192" s="3100" t="s">
        <v>295</v>
      </c>
      <c r="W192" s="3100" t="s">
        <v>6797</v>
      </c>
      <c r="X192" s="3100" t="s">
        <v>213</v>
      </c>
      <c r="Y192" s="3101" t="s">
        <v>164</v>
      </c>
    </row>
    <row r="193" spans="1:25" ht="18" hidden="1">
      <c r="A193" s="1304"/>
      <c r="B193" s="643">
        <v>1701</v>
      </c>
      <c r="C193" s="643" t="s">
        <v>6054</v>
      </c>
      <c r="D193" s="3085">
        <v>2</v>
      </c>
      <c r="E193" s="3086" t="str">
        <f t="shared" si="17"/>
        <v>无形资产</v>
      </c>
      <c r="F193" s="3087" t="s">
        <v>6056</v>
      </c>
      <c r="G193" s="3088">
        <f t="shared" si="18"/>
        <v>0</v>
      </c>
      <c r="H193" s="3089">
        <f ca="1">INDIRECT("Notes!CheckA"&amp;$C193)</f>
        <v>0</v>
      </c>
      <c r="I193" s="3091" t="s">
        <v>6803</v>
      </c>
      <c r="J193" s="3070"/>
      <c r="K193" s="3088">
        <f t="shared" si="22"/>
        <v>0</v>
      </c>
      <c r="L193" s="3069">
        <f ca="1">INDIRECT("Notes!CheckB"&amp;$C193)</f>
        <v>0</v>
      </c>
      <c r="M193" s="3091" t="s">
        <v>6803</v>
      </c>
      <c r="N193" s="3070"/>
      <c r="O193" s="3097"/>
      <c r="P193" s="3098"/>
      <c r="Q193" s="3098"/>
      <c r="R193" s="3098"/>
      <c r="S193" s="3099" t="s">
        <v>295</v>
      </c>
      <c r="T193" s="3099" t="s">
        <v>213</v>
      </c>
      <c r="U193" s="3100"/>
      <c r="V193" s="3100" t="s">
        <v>295</v>
      </c>
      <c r="W193" s="3100" t="s">
        <v>6797</v>
      </c>
      <c r="X193" s="3100" t="s">
        <v>213</v>
      </c>
      <c r="Y193" s="3101" t="s">
        <v>164</v>
      </c>
    </row>
    <row r="194" spans="1:25" ht="24" hidden="1">
      <c r="A194" s="1304"/>
      <c r="B194" s="643">
        <v>1701</v>
      </c>
      <c r="C194" s="643" t="s">
        <v>1274</v>
      </c>
      <c r="D194" s="3085">
        <v>2</v>
      </c>
      <c r="E194" s="3086" t="str">
        <f t="shared" si="17"/>
        <v>无形资产</v>
      </c>
      <c r="F194" s="3087" t="s">
        <v>1275</v>
      </c>
      <c r="G194" s="3088">
        <f t="shared" si="18"/>
        <v>0</v>
      </c>
      <c r="H194" s="3089" t="s">
        <v>6799</v>
      </c>
      <c r="I194" s="3091" t="s">
        <v>6803</v>
      </c>
      <c r="J194" s="3070"/>
      <c r="K194" s="3088">
        <f t="shared" si="22"/>
        <v>0</v>
      </c>
      <c r="L194" s="3069" t="s">
        <v>6799</v>
      </c>
      <c r="M194" s="3091" t="s">
        <v>6803</v>
      </c>
      <c r="N194" s="3070"/>
      <c r="O194" s="3097"/>
      <c r="P194" s="3098"/>
      <c r="Q194" s="3098"/>
      <c r="R194" s="3098"/>
      <c r="S194" s="3099" t="s">
        <v>295</v>
      </c>
      <c r="T194" s="3099" t="s">
        <v>213</v>
      </c>
      <c r="U194" s="3100"/>
      <c r="V194" s="3100" t="s">
        <v>295</v>
      </c>
      <c r="W194" s="3100" t="s">
        <v>6797</v>
      </c>
      <c r="X194" s="3100" t="s">
        <v>213</v>
      </c>
      <c r="Y194" s="3101" t="s">
        <v>164</v>
      </c>
    </row>
    <row r="195" spans="1:25" ht="18">
      <c r="A195" s="1304"/>
      <c r="B195" s="643">
        <v>1700</v>
      </c>
      <c r="C195" s="643" t="s">
        <v>6066</v>
      </c>
      <c r="D195" s="3085">
        <v>1</v>
      </c>
      <c r="E195" s="3086" t="str">
        <f t="shared" si="17"/>
        <v>开发支出</v>
      </c>
      <c r="F195" s="3087" t="s">
        <v>1290</v>
      </c>
      <c r="G195" s="3088">
        <f t="shared" si="18"/>
        <v>0</v>
      </c>
      <c r="H195" s="3089">
        <f ca="1">INDIRECT("Notes!CheckA"&amp;$C195)</f>
        <v>0</v>
      </c>
      <c r="I195" s="3091">
        <f ca="1">IF(AND(LEN(G195)&gt;0,LEN(H195)&gt;0),ROUND(SUM(G195)-SUM(H195),2),"")</f>
        <v>0</v>
      </c>
      <c r="J195" s="3070" t="str">
        <f ca="1">IF(ISNA(I195),"N/A",IF(I195=0,"√","？"))</f>
        <v>√</v>
      </c>
      <c r="K195" s="3088">
        <f t="shared" si="22"/>
        <v>2185457.56</v>
      </c>
      <c r="L195" s="3069">
        <f ca="1">INDIRECT("Notes!CheckB"&amp;$C195)</f>
        <v>0</v>
      </c>
      <c r="M195" s="3091">
        <f ca="1">IF(AND(LEN(K195)&gt;0,LEN(L195)&gt;0),ROUND(SUM(K195)-SUM(L195),2),"")</f>
        <v>2185457.56</v>
      </c>
      <c r="N195" s="3070" t="str">
        <f ca="1">IF(ISNA(M195),"N/A",IF(M195=0,"√","？"))</f>
        <v>？</v>
      </c>
      <c r="O195" s="3097"/>
      <c r="P195" s="3098"/>
      <c r="Q195" s="3098"/>
      <c r="R195" s="3098"/>
      <c r="S195" s="3099" t="s">
        <v>295</v>
      </c>
      <c r="T195" s="3099" t="s">
        <v>213</v>
      </c>
      <c r="U195" s="3100"/>
      <c r="V195" s="3100" t="s">
        <v>295</v>
      </c>
      <c r="W195" s="3100" t="s">
        <v>6797</v>
      </c>
      <c r="X195" s="3100" t="s">
        <v>6798</v>
      </c>
      <c r="Y195" s="3101" t="s">
        <v>164</v>
      </c>
    </row>
    <row r="196" spans="1:25" ht="18">
      <c r="A196" s="1304"/>
      <c r="B196" s="643">
        <v>1711</v>
      </c>
      <c r="C196" s="643" t="s">
        <v>1294</v>
      </c>
      <c r="D196" s="3085">
        <v>1</v>
      </c>
      <c r="E196" s="3086" t="str">
        <f t="shared" si="17"/>
        <v>商誉</v>
      </c>
      <c r="F196" s="3087" t="s">
        <v>1295</v>
      </c>
      <c r="G196" s="3088">
        <f t="shared" si="18"/>
        <v>0</v>
      </c>
      <c r="H196" s="3089">
        <f ca="1">INDIRECT("Notes!CheckA"&amp;$C196)</f>
        <v>0</v>
      </c>
      <c r="I196" s="3091">
        <f ca="1">IF(AND(LEN(G196)&gt;0,LEN(H196)&gt;0),ROUND(SUM(G196)-SUM(H196),2),"")</f>
        <v>0</v>
      </c>
      <c r="J196" s="3070" t="str">
        <f ca="1">IF(ISNA(I196),"N/A",IF(I196=0,"√","？"))</f>
        <v>√</v>
      </c>
      <c r="K196" s="3088">
        <f t="shared" si="22"/>
        <v>0</v>
      </c>
      <c r="L196" s="3069">
        <f ca="1">INDIRECT("Notes!CheckB"&amp;$C196)</f>
        <v>0</v>
      </c>
      <c r="M196" s="3091">
        <f ca="1">IF(AND(LEN(K196)&gt;0,LEN(L196)&gt;0),ROUND(SUM(K196)-SUM(L196),2),"")</f>
        <v>0</v>
      </c>
      <c r="N196" s="3070" t="str">
        <f ca="1">IF(ISNA(M196),"N/A",IF(M196=0,"√","？"))</f>
        <v>√</v>
      </c>
      <c r="O196" s="3097"/>
      <c r="P196" s="3098"/>
      <c r="Q196" s="3098"/>
      <c r="R196" s="3098"/>
      <c r="S196" s="3099" t="s">
        <v>295</v>
      </c>
      <c r="T196" s="3099" t="s">
        <v>213</v>
      </c>
      <c r="U196" s="3100"/>
      <c r="V196" s="3100" t="s">
        <v>295</v>
      </c>
      <c r="W196" s="3100" t="s">
        <v>6797</v>
      </c>
      <c r="X196" s="3100" t="s">
        <v>6798</v>
      </c>
      <c r="Y196" s="3101" t="s">
        <v>164</v>
      </c>
    </row>
    <row r="197" spans="1:25" ht="18" hidden="1">
      <c r="A197" s="1304"/>
      <c r="B197" s="643">
        <v>1711</v>
      </c>
      <c r="C197" s="643" t="s">
        <v>1300</v>
      </c>
      <c r="D197" s="3085">
        <v>2</v>
      </c>
      <c r="E197" s="3086" t="str">
        <f t="shared" si="17"/>
        <v>商誉</v>
      </c>
      <c r="F197" s="3087" t="s">
        <v>583</v>
      </c>
      <c r="G197" s="3088">
        <f t="shared" si="18"/>
        <v>0</v>
      </c>
      <c r="H197" s="3089">
        <f ca="1">INDIRECT("Notes!CheckA"&amp;$C197)</f>
        <v>0</v>
      </c>
      <c r="I197" s="3091" t="s">
        <v>6803</v>
      </c>
      <c r="J197" s="3070"/>
      <c r="K197" s="3088">
        <f t="shared" si="22"/>
        <v>0</v>
      </c>
      <c r="L197" s="3069">
        <f ca="1">INDIRECT("Notes!CheckB"&amp;$C197)</f>
        <v>0</v>
      </c>
      <c r="M197" s="3091" t="s">
        <v>6803</v>
      </c>
      <c r="N197" s="3070"/>
      <c r="O197" s="3097"/>
      <c r="P197" s="3098"/>
      <c r="Q197" s="3098"/>
      <c r="R197" s="3098"/>
      <c r="S197" s="3099" t="s">
        <v>295</v>
      </c>
      <c r="T197" s="3099" t="s">
        <v>213</v>
      </c>
      <c r="U197" s="3100"/>
      <c r="V197" s="3100" t="s">
        <v>295</v>
      </c>
      <c r="W197" s="3100" t="s">
        <v>6797</v>
      </c>
      <c r="X197" s="3100" t="s">
        <v>6798</v>
      </c>
      <c r="Y197" s="3101" t="s">
        <v>164</v>
      </c>
    </row>
    <row r="198" spans="1:25" ht="18">
      <c r="A198" s="1304"/>
      <c r="B198" s="643">
        <v>1801</v>
      </c>
      <c r="C198" s="643" t="s">
        <v>1304</v>
      </c>
      <c r="D198" s="3085">
        <v>1</v>
      </c>
      <c r="E198" s="3086" t="str">
        <f t="shared" si="17"/>
        <v>长期待摊费用</v>
      </c>
      <c r="F198" s="3087" t="s">
        <v>1305</v>
      </c>
      <c r="G198" s="3088">
        <f t="shared" si="18"/>
        <v>0</v>
      </c>
      <c r="H198" s="3089">
        <f ca="1">INDIRECT("Notes!CheckA"&amp;$C198)</f>
        <v>0</v>
      </c>
      <c r="I198" s="3091">
        <f ca="1">IF(AND(LEN(G198)&gt;0,LEN(H198)&gt;0),ROUND(SUM(G198)-SUM(H198),2),"")</f>
        <v>0</v>
      </c>
      <c r="J198" s="3070" t="str">
        <f ca="1">IF(ISNA(I198),"N/A",IF(I198=0,"√","？"))</f>
        <v>√</v>
      </c>
      <c r="K198" s="3088">
        <f t="shared" si="22"/>
        <v>0</v>
      </c>
      <c r="L198" s="3069">
        <f ca="1">INDIRECT("Notes!CheckB"&amp;$C198)</f>
        <v>0</v>
      </c>
      <c r="M198" s="3091">
        <f ca="1">IF(AND(LEN(K198)&gt;0,LEN(L198)&gt;0),ROUND(SUM(K198)-SUM(L198),2),"")</f>
        <v>0</v>
      </c>
      <c r="N198" s="3070" t="str">
        <f ca="1">IF(ISNA(M198),"N/A",IF(M198=0,"√","？"))</f>
        <v>√</v>
      </c>
      <c r="O198" s="3097"/>
      <c r="P198" s="3098"/>
      <c r="Q198" s="3098"/>
      <c r="R198" s="3098"/>
      <c r="S198" s="3099" t="s">
        <v>295</v>
      </c>
      <c r="T198" s="3099" t="s">
        <v>213</v>
      </c>
      <c r="U198" s="3100"/>
      <c r="V198" s="3100" t="s">
        <v>295</v>
      </c>
      <c r="W198" s="3100" t="s">
        <v>6797</v>
      </c>
      <c r="X198" s="3100" t="s">
        <v>6798</v>
      </c>
      <c r="Y198" s="3101" t="s">
        <v>164</v>
      </c>
    </row>
    <row r="199" spans="1:25" ht="18" hidden="1">
      <c r="A199" s="1304"/>
      <c r="B199" s="643">
        <v>1801</v>
      </c>
      <c r="C199" s="643" t="s">
        <v>1310</v>
      </c>
      <c r="D199" s="3085">
        <v>2</v>
      </c>
      <c r="E199" s="3086" t="str">
        <f t="shared" si="17"/>
        <v>长期待摊费用</v>
      </c>
      <c r="F199" s="3087" t="s">
        <v>1311</v>
      </c>
      <c r="G199" s="3088">
        <f t="shared" si="18"/>
        <v>0</v>
      </c>
      <c r="H199" s="3089" t="s">
        <v>6799</v>
      </c>
      <c r="I199" s="3091" t="s">
        <v>6803</v>
      </c>
      <c r="J199" s="3070"/>
      <c r="K199" s="3088">
        <f t="shared" si="22"/>
        <v>0</v>
      </c>
      <c r="L199" s="3069" t="s">
        <v>6799</v>
      </c>
      <c r="M199" s="3091" t="s">
        <v>6803</v>
      </c>
      <c r="N199" s="3070"/>
      <c r="O199" s="3097"/>
      <c r="P199" s="3098"/>
      <c r="Q199" s="3098"/>
      <c r="R199" s="3098"/>
      <c r="S199" s="3099" t="s">
        <v>295</v>
      </c>
      <c r="T199" s="3099" t="s">
        <v>213</v>
      </c>
      <c r="U199" s="3100"/>
      <c r="V199" s="3100" t="s">
        <v>295</v>
      </c>
      <c r="W199" s="3100" t="s">
        <v>6797</v>
      </c>
      <c r="X199" s="3100" t="s">
        <v>213</v>
      </c>
      <c r="Y199" s="3101" t="s">
        <v>164</v>
      </c>
    </row>
    <row r="200" spans="1:25" ht="24">
      <c r="A200" s="1304"/>
      <c r="B200" s="643">
        <v>1811</v>
      </c>
      <c r="C200" s="643" t="s">
        <v>1315</v>
      </c>
      <c r="D200" s="3085">
        <v>1</v>
      </c>
      <c r="E200" s="3086" t="str">
        <f t="shared" si="17"/>
        <v>递延所得税资产</v>
      </c>
      <c r="F200" s="3087" t="s">
        <v>1316</v>
      </c>
      <c r="G200" s="3088">
        <f t="shared" si="18"/>
        <v>0</v>
      </c>
      <c r="H200" s="3089">
        <f ca="1">INDIRECT("Notes!CheckA"&amp;$C200)</f>
        <v>0</v>
      </c>
      <c r="I200" s="3091">
        <f ca="1">IF(AND(LEN(G200)&gt;0,LEN(H200)&gt;0),ROUND(SUM(G200)-SUM(H200),2),"")</f>
        <v>0</v>
      </c>
      <c r="J200" s="3070" t="str">
        <f ca="1">IF(ISNA(I200),"N/A",IF(I200=0,"√","？"))</f>
        <v>√</v>
      </c>
      <c r="K200" s="3088">
        <f t="shared" si="22"/>
        <v>20659.91</v>
      </c>
      <c r="L200" s="3069">
        <f ca="1">INDIRECT("Notes!CheckB"&amp;$C200)</f>
        <v>0</v>
      </c>
      <c r="M200" s="3091">
        <f ca="1">IF(AND(LEN(K200)&gt;0,LEN(L200)&gt;0),ROUND(SUM(K200)-SUM(L200),2),"")</f>
        <v>20659.91</v>
      </c>
      <c r="N200" s="3070" t="str">
        <f ca="1">IF(ISNA(M200),"N/A",IF(M200=0,"√","？"))</f>
        <v>？</v>
      </c>
      <c r="O200" s="3097"/>
      <c r="P200" s="3098"/>
      <c r="Q200" s="3098"/>
      <c r="R200" s="3098"/>
      <c r="S200" s="3099" t="s">
        <v>295</v>
      </c>
      <c r="T200" s="3099" t="s">
        <v>213</v>
      </c>
      <c r="U200" s="3100"/>
      <c r="V200" s="3100" t="s">
        <v>295</v>
      </c>
      <c r="W200" s="3100" t="s">
        <v>6797</v>
      </c>
      <c r="X200" s="3100" t="s">
        <v>6798</v>
      </c>
      <c r="Y200" s="3101" t="s">
        <v>164</v>
      </c>
    </row>
    <row r="201" spans="1:25" ht="24">
      <c r="A201" s="1304"/>
      <c r="B201" s="643">
        <v>2901</v>
      </c>
      <c r="C201" s="643" t="s">
        <v>1321</v>
      </c>
      <c r="D201" s="3085">
        <v>1</v>
      </c>
      <c r="E201" s="3086" t="str">
        <f t="shared" ref="E201:E264" si="26">IF(ISERROR(VLOOKUP($B201,Sheet_Items,2,0)),"        ----",VLOOKUP($B201,Sheet_Items,2,0))</f>
        <v>递延所得税负债</v>
      </c>
      <c r="F201" s="3087" t="s">
        <v>1322</v>
      </c>
      <c r="G201" s="3088">
        <f t="shared" ref="G201:G264" si="27">IF(ISERROR(VLOOKUP($B201,Sheet_Trialbal,6,0)),"        ----",VLOOKUP($B201,Sheet_Trialbal,6,0))</f>
        <v>0</v>
      </c>
      <c r="H201" s="3089">
        <f ca="1">INDIRECT("Notes!CheckA"&amp;$C201)</f>
        <v>0</v>
      </c>
      <c r="I201" s="3091">
        <f ca="1">IF(AND(LEN(G201)&gt;0,LEN(H201)&gt;0),ROUND(SUM(G201)-SUM(H201),2),"")</f>
        <v>0</v>
      </c>
      <c r="J201" s="3070" t="str">
        <f ca="1">IF(ISNA(I201),"N/A",IF(I201=0,"√","？"))</f>
        <v>√</v>
      </c>
      <c r="K201" s="3088">
        <f t="shared" si="22"/>
        <v>0</v>
      </c>
      <c r="L201" s="3069">
        <f ca="1">INDIRECT("Notes!CheckB"&amp;$C201)</f>
        <v>0</v>
      </c>
      <c r="M201" s="3091">
        <f ca="1">IF(AND(LEN(K201)&gt;0,LEN(L201)&gt;0),ROUND(SUM(K201)-SUM(L201),2),"")</f>
        <v>0</v>
      </c>
      <c r="N201" s="3070" t="str">
        <f ca="1">IF(ISNA(M201),"N/A",IF(M201=0,"√","？"))</f>
        <v>√</v>
      </c>
      <c r="O201" s="3097"/>
      <c r="P201" s="3098"/>
      <c r="Q201" s="3098"/>
      <c r="R201" s="3098"/>
      <c r="S201" s="3099" t="s">
        <v>295</v>
      </c>
      <c r="T201" s="3099" t="s">
        <v>213</v>
      </c>
      <c r="U201" s="3100"/>
      <c r="V201" s="3100" t="s">
        <v>295</v>
      </c>
      <c r="W201" s="3100" t="s">
        <v>6797</v>
      </c>
      <c r="X201" s="3100" t="s">
        <v>6798</v>
      </c>
      <c r="Y201" s="3101" t="s">
        <v>164</v>
      </c>
    </row>
    <row r="202" spans="1:25" ht="24" hidden="1">
      <c r="A202" s="1304"/>
      <c r="B202" s="643"/>
      <c r="C202" s="643" t="s">
        <v>1326</v>
      </c>
      <c r="D202" s="3085">
        <v>3</v>
      </c>
      <c r="E202" s="3086" t="str">
        <f t="shared" si="26"/>
        <v xml:space="preserve">        ----</v>
      </c>
      <c r="F202" s="3087" t="s">
        <v>1327</v>
      </c>
      <c r="G202" s="3088" t="str">
        <f t="shared" si="27"/>
        <v xml:space="preserve">        ----</v>
      </c>
      <c r="H202" s="3089" t="s">
        <v>6799</v>
      </c>
      <c r="I202" s="3091" t="s">
        <v>6803</v>
      </c>
      <c r="J202" s="3070"/>
      <c r="K202" s="3088" t="str">
        <f t="shared" si="22"/>
        <v xml:space="preserve">        ----</v>
      </c>
      <c r="L202" s="3069" t="s">
        <v>6799</v>
      </c>
      <c r="M202" s="3091" t="s">
        <v>6803</v>
      </c>
      <c r="N202" s="3070"/>
      <c r="O202" s="3097"/>
      <c r="P202" s="3098"/>
      <c r="Q202" s="3098"/>
      <c r="R202" s="3098"/>
      <c r="S202" s="3099" t="s">
        <v>295</v>
      </c>
      <c r="T202" s="3099" t="s">
        <v>213</v>
      </c>
      <c r="U202" s="3100"/>
      <c r="V202" s="3100" t="s">
        <v>295</v>
      </c>
      <c r="W202" s="3100" t="s">
        <v>6797</v>
      </c>
      <c r="X202" s="3100" t="s">
        <v>6798</v>
      </c>
      <c r="Y202" s="3101" t="s">
        <v>164</v>
      </c>
    </row>
    <row r="203" spans="1:25" ht="24" hidden="1">
      <c r="A203" s="1304"/>
      <c r="B203" s="643"/>
      <c r="C203" s="643" t="s">
        <v>1331</v>
      </c>
      <c r="D203" s="3085">
        <v>3</v>
      </c>
      <c r="E203" s="3086" t="str">
        <f t="shared" si="26"/>
        <v xml:space="preserve">        ----</v>
      </c>
      <c r="F203" s="3087" t="s">
        <v>1332</v>
      </c>
      <c r="G203" s="3088" t="str">
        <f t="shared" si="27"/>
        <v xml:space="preserve">        ----</v>
      </c>
      <c r="H203" s="3089" t="s">
        <v>6799</v>
      </c>
      <c r="I203" s="3091" t="s">
        <v>6803</v>
      </c>
      <c r="J203" s="3070"/>
      <c r="K203" s="3088" t="str">
        <f t="shared" si="22"/>
        <v xml:space="preserve">        ----</v>
      </c>
      <c r="L203" s="3069" t="s">
        <v>6799</v>
      </c>
      <c r="M203" s="3091" t="s">
        <v>6803</v>
      </c>
      <c r="N203" s="3070"/>
      <c r="O203" s="3097"/>
      <c r="P203" s="3098"/>
      <c r="Q203" s="3098"/>
      <c r="R203" s="3098"/>
      <c r="S203" s="3099" t="s">
        <v>295</v>
      </c>
      <c r="T203" s="3099" t="s">
        <v>213</v>
      </c>
      <c r="U203" s="3100"/>
      <c r="V203" s="3100" t="s">
        <v>295</v>
      </c>
      <c r="W203" s="3100" t="s">
        <v>6797</v>
      </c>
      <c r="X203" s="3100" t="s">
        <v>6798</v>
      </c>
      <c r="Y203" s="3101" t="s">
        <v>164</v>
      </c>
    </row>
    <row r="204" spans="1:25" ht="36" hidden="1">
      <c r="A204" s="1304"/>
      <c r="B204" s="643"/>
      <c r="C204" s="643" t="s">
        <v>1336</v>
      </c>
      <c r="D204" s="3085">
        <v>3</v>
      </c>
      <c r="E204" s="3086" t="str">
        <f t="shared" si="26"/>
        <v xml:space="preserve">        ----</v>
      </c>
      <c r="F204" s="3087" t="s">
        <v>1337</v>
      </c>
      <c r="G204" s="3088" t="str">
        <f t="shared" si="27"/>
        <v xml:space="preserve">        ----</v>
      </c>
      <c r="H204" s="3089">
        <f t="shared" ref="H204:H220" ca="1" si="28">INDIRECT("Notes!CheckA"&amp;$C204)</f>
        <v>0</v>
      </c>
      <c r="I204" s="3091" t="s">
        <v>6803</v>
      </c>
      <c r="J204" s="3070"/>
      <c r="K204" s="3088" t="str">
        <f t="shared" si="22"/>
        <v xml:space="preserve">        ----</v>
      </c>
      <c r="L204" s="3069">
        <f ca="1">INDIRECT("Notes!CheckB"&amp;$C204)</f>
        <v>0</v>
      </c>
      <c r="M204" s="3091" t="s">
        <v>6803</v>
      </c>
      <c r="N204" s="3070"/>
      <c r="O204" s="3097"/>
      <c r="P204" s="3098"/>
      <c r="Q204" s="3098"/>
      <c r="R204" s="3098"/>
      <c r="S204" s="3099" t="s">
        <v>295</v>
      </c>
      <c r="T204" s="3099" t="s">
        <v>213</v>
      </c>
      <c r="U204" s="3100"/>
      <c r="V204" s="3100" t="s">
        <v>295</v>
      </c>
      <c r="W204" s="3100" t="s">
        <v>6797</v>
      </c>
      <c r="X204" s="3100" t="s">
        <v>6798</v>
      </c>
      <c r="Y204" s="3101" t="s">
        <v>164</v>
      </c>
    </row>
    <row r="205" spans="1:25" ht="24">
      <c r="A205" s="1304"/>
      <c r="B205" s="643">
        <v>1996</v>
      </c>
      <c r="C205" s="643" t="s">
        <v>1341</v>
      </c>
      <c r="D205" s="3085">
        <v>1</v>
      </c>
      <c r="E205" s="3086" t="str">
        <f t="shared" si="26"/>
        <v>其他非流动资产</v>
      </c>
      <c r="F205" s="3087" t="s">
        <v>1342</v>
      </c>
      <c r="G205" s="3088">
        <f t="shared" si="27"/>
        <v>0</v>
      </c>
      <c r="H205" s="3089">
        <f t="shared" ca="1" si="28"/>
        <v>0</v>
      </c>
      <c r="I205" s="3091">
        <f ca="1">IF(AND(LEN(G205)&gt;0,LEN(H205)&gt;0),ROUND(SUM(G205)-SUM(H205),2),"")</f>
        <v>0</v>
      </c>
      <c r="J205" s="3070" t="str">
        <f ca="1">IF(ISNA(I205),"N/A",IF(I205=0,"√","？"))</f>
        <v>√</v>
      </c>
      <c r="K205" s="3088">
        <f t="shared" si="22"/>
        <v>0</v>
      </c>
      <c r="L205" s="3069">
        <f ca="1">INDIRECT("Notes!CheckB"&amp;$C205)</f>
        <v>0</v>
      </c>
      <c r="M205" s="3091">
        <f ca="1">IF(AND(LEN(K205)&gt;0,LEN(L205)&gt;0),ROUND(SUM(K205)-SUM(L205),2),"")</f>
        <v>0</v>
      </c>
      <c r="N205" s="3070" t="str">
        <f ca="1">IF(ISNA(M205),"N/A",IF(M205=0,"√","？"))</f>
        <v>√</v>
      </c>
      <c r="O205" s="3097"/>
      <c r="P205" s="3098"/>
      <c r="Q205" s="3098"/>
      <c r="R205" s="3098"/>
      <c r="S205" s="3099" t="s">
        <v>295</v>
      </c>
      <c r="T205" s="3099" t="s">
        <v>213</v>
      </c>
      <c r="U205" s="3100"/>
      <c r="V205" s="3100" t="s">
        <v>295</v>
      </c>
      <c r="W205" s="3100" t="s">
        <v>6797</v>
      </c>
      <c r="X205" s="3100" t="s">
        <v>6798</v>
      </c>
      <c r="Y205" s="3101" t="s">
        <v>164</v>
      </c>
    </row>
    <row r="206" spans="1:25" ht="18">
      <c r="A206" s="1304"/>
      <c r="B206" s="643">
        <v>2001</v>
      </c>
      <c r="C206" s="643" t="s">
        <v>1357</v>
      </c>
      <c r="D206" s="3085">
        <v>1</v>
      </c>
      <c r="E206" s="3086" t="str">
        <f t="shared" si="26"/>
        <v>短期借款</v>
      </c>
      <c r="F206" s="3087" t="s">
        <v>1358</v>
      </c>
      <c r="G206" s="3088">
        <f t="shared" si="27"/>
        <v>0</v>
      </c>
      <c r="H206" s="3089">
        <f t="shared" ca="1" si="28"/>
        <v>0</v>
      </c>
      <c r="I206" s="3091">
        <f ca="1">IF(AND(LEN(G206)&gt;0,LEN(H206)&gt;0),ROUND(SUM(G206)-SUM(H206),2),"")</f>
        <v>0</v>
      </c>
      <c r="J206" s="3070" t="str">
        <f ca="1">IF(ISNA(I206),"N/A",IF(I206=0,"√","？"))</f>
        <v>√</v>
      </c>
      <c r="K206" s="3088">
        <f t="shared" si="22"/>
        <v>0</v>
      </c>
      <c r="L206" s="3069">
        <f ca="1">INDIRECT("Notes!CheckB"&amp;$C206)</f>
        <v>0</v>
      </c>
      <c r="M206" s="3091">
        <f ca="1">IF(AND(LEN(K206)&gt;0,LEN(L206)&gt;0),ROUND(SUM(K206)-SUM(L206),2),"")</f>
        <v>0</v>
      </c>
      <c r="N206" s="3070" t="str">
        <f ca="1">IF(ISNA(M206),"N/A",IF(M206=0,"√","？"))</f>
        <v>√</v>
      </c>
      <c r="O206" s="3097"/>
      <c r="P206" s="3098"/>
      <c r="Q206" s="3098"/>
      <c r="R206" s="3098"/>
      <c r="S206" s="3099" t="s">
        <v>295</v>
      </c>
      <c r="T206" s="3099" t="s">
        <v>213</v>
      </c>
      <c r="U206" s="3100"/>
      <c r="V206" s="3100" t="s">
        <v>295</v>
      </c>
      <c r="W206" s="3100" t="s">
        <v>6797</v>
      </c>
      <c r="X206" s="3100" t="s">
        <v>6798</v>
      </c>
      <c r="Y206" s="3101" t="s">
        <v>164</v>
      </c>
    </row>
    <row r="207" spans="1:25" ht="24" hidden="1">
      <c r="A207" s="1304"/>
      <c r="B207" s="643">
        <v>2001</v>
      </c>
      <c r="C207" s="643" t="s">
        <v>1369</v>
      </c>
      <c r="D207" s="3085">
        <v>2</v>
      </c>
      <c r="E207" s="3086" t="str">
        <f t="shared" si="26"/>
        <v>短期借款</v>
      </c>
      <c r="F207" s="3087" t="s">
        <v>1370</v>
      </c>
      <c r="G207" s="3088">
        <f t="shared" si="27"/>
        <v>0</v>
      </c>
      <c r="H207" s="3089">
        <f t="shared" ca="1" si="28"/>
        <v>0</v>
      </c>
      <c r="I207" s="3091" t="s">
        <v>6803</v>
      </c>
      <c r="J207" s="3070"/>
      <c r="K207" s="3088">
        <f t="shared" si="22"/>
        <v>0</v>
      </c>
      <c r="L207" s="3069" t="s">
        <v>6799</v>
      </c>
      <c r="M207" s="3091" t="s">
        <v>6803</v>
      </c>
      <c r="N207" s="3070"/>
      <c r="O207" s="3097"/>
      <c r="P207" s="3098"/>
      <c r="Q207" s="3098"/>
      <c r="R207" s="3098"/>
      <c r="S207" s="3099" t="s">
        <v>295</v>
      </c>
      <c r="T207" s="3099" t="s">
        <v>213</v>
      </c>
      <c r="U207" s="3100"/>
      <c r="V207" s="3100" t="s">
        <v>295</v>
      </c>
      <c r="W207" s="3100" t="s">
        <v>6797</v>
      </c>
      <c r="X207" s="3100" t="s">
        <v>213</v>
      </c>
      <c r="Y207" s="3101" t="s">
        <v>164</v>
      </c>
    </row>
    <row r="208" spans="1:25" ht="24" hidden="1">
      <c r="A208" s="1304"/>
      <c r="B208" s="643">
        <v>2001</v>
      </c>
      <c r="C208" s="643" t="s">
        <v>1375</v>
      </c>
      <c r="D208" s="3085">
        <v>2</v>
      </c>
      <c r="E208" s="3086" t="str">
        <f t="shared" si="26"/>
        <v>短期借款</v>
      </c>
      <c r="F208" s="3087" t="s">
        <v>1376</v>
      </c>
      <c r="G208" s="3088">
        <f t="shared" si="27"/>
        <v>0</v>
      </c>
      <c r="H208" s="3089">
        <f t="shared" ca="1" si="28"/>
        <v>0</v>
      </c>
      <c r="I208" s="3091" t="s">
        <v>6803</v>
      </c>
      <c r="J208" s="3070"/>
      <c r="K208" s="3088">
        <f t="shared" si="22"/>
        <v>0</v>
      </c>
      <c r="L208" s="3069" t="s">
        <v>6799</v>
      </c>
      <c r="M208" s="3091" t="s">
        <v>6803</v>
      </c>
      <c r="N208" s="3070"/>
      <c r="O208" s="3097"/>
      <c r="P208" s="3098"/>
      <c r="Q208" s="3098"/>
      <c r="R208" s="3098"/>
      <c r="S208" s="3099" t="s">
        <v>295</v>
      </c>
      <c r="T208" s="3099" t="s">
        <v>213</v>
      </c>
      <c r="U208" s="3100"/>
      <c r="V208" s="3100" t="s">
        <v>295</v>
      </c>
      <c r="W208" s="3100" t="s">
        <v>6797</v>
      </c>
      <c r="X208" s="3100" t="s">
        <v>213</v>
      </c>
      <c r="Y208" s="3101" t="s">
        <v>164</v>
      </c>
    </row>
    <row r="209" spans="1:25" ht="24" hidden="1">
      <c r="A209" s="1304"/>
      <c r="B209" s="643">
        <v>2001</v>
      </c>
      <c r="C209" s="643" t="s">
        <v>1380</v>
      </c>
      <c r="D209" s="3085">
        <v>2</v>
      </c>
      <c r="E209" s="3086" t="str">
        <f t="shared" si="26"/>
        <v>短期借款</v>
      </c>
      <c r="F209" s="3087" t="s">
        <v>1381</v>
      </c>
      <c r="G209" s="3088">
        <f t="shared" si="27"/>
        <v>0</v>
      </c>
      <c r="H209" s="3089">
        <f t="shared" ca="1" si="28"/>
        <v>0</v>
      </c>
      <c r="I209" s="3091" t="s">
        <v>6803</v>
      </c>
      <c r="J209" s="3070"/>
      <c r="K209" s="3088">
        <f t="shared" si="22"/>
        <v>0</v>
      </c>
      <c r="L209" s="3069" t="s">
        <v>6799</v>
      </c>
      <c r="M209" s="3091" t="s">
        <v>6803</v>
      </c>
      <c r="N209" s="3070"/>
      <c r="O209" s="3097"/>
      <c r="P209" s="3098"/>
      <c r="Q209" s="3098"/>
      <c r="R209" s="3098"/>
      <c r="S209" s="3099" t="s">
        <v>295</v>
      </c>
      <c r="T209" s="3099" t="s">
        <v>213</v>
      </c>
      <c r="U209" s="3100"/>
      <c r="V209" s="3100" t="s">
        <v>295</v>
      </c>
      <c r="W209" s="3100" t="s">
        <v>6797</v>
      </c>
      <c r="X209" s="3100" t="s">
        <v>213</v>
      </c>
      <c r="Y209" s="3101" t="s">
        <v>164</v>
      </c>
    </row>
    <row r="210" spans="1:25" ht="24" hidden="1">
      <c r="A210" s="1304"/>
      <c r="B210" s="643">
        <v>2001</v>
      </c>
      <c r="C210" s="643" t="s">
        <v>1363</v>
      </c>
      <c r="D210" s="3085">
        <v>2</v>
      </c>
      <c r="E210" s="3086" t="str">
        <f t="shared" si="26"/>
        <v>短期借款</v>
      </c>
      <c r="F210" s="3087" t="s">
        <v>1364</v>
      </c>
      <c r="G210" s="3088">
        <f t="shared" si="27"/>
        <v>0</v>
      </c>
      <c r="H210" s="3089">
        <f t="shared" ca="1" si="28"/>
        <v>0</v>
      </c>
      <c r="I210" s="3091" t="s">
        <v>6803</v>
      </c>
      <c r="J210" s="3070"/>
      <c r="K210" s="3088">
        <f t="shared" si="22"/>
        <v>0</v>
      </c>
      <c r="L210" s="3069" t="s">
        <v>6799</v>
      </c>
      <c r="M210" s="3091" t="s">
        <v>6803</v>
      </c>
      <c r="N210" s="3070"/>
      <c r="O210" s="3097"/>
      <c r="P210" s="3098"/>
      <c r="Q210" s="3098"/>
      <c r="R210" s="3098"/>
      <c r="S210" s="3099" t="s">
        <v>295</v>
      </c>
      <c r="T210" s="3099" t="s">
        <v>213</v>
      </c>
      <c r="U210" s="3100"/>
      <c r="V210" s="3100" t="s">
        <v>295</v>
      </c>
      <c r="W210" s="3100" t="s">
        <v>6797</v>
      </c>
      <c r="X210" s="3100" t="s">
        <v>6798</v>
      </c>
      <c r="Y210" s="3101" t="s">
        <v>164</v>
      </c>
    </row>
    <row r="211" spans="1:25" ht="18" hidden="1">
      <c r="A211" s="1304"/>
      <c r="B211" s="643">
        <v>2001</v>
      </c>
      <c r="C211" s="643" t="s">
        <v>1385</v>
      </c>
      <c r="D211" s="3085">
        <v>2</v>
      </c>
      <c r="E211" s="3086" t="str">
        <f t="shared" si="26"/>
        <v>短期借款</v>
      </c>
      <c r="F211" s="3087" t="s">
        <v>1386</v>
      </c>
      <c r="G211" s="3088">
        <f t="shared" si="27"/>
        <v>0</v>
      </c>
      <c r="H211" s="3089">
        <f t="shared" ca="1" si="28"/>
        <v>0</v>
      </c>
      <c r="I211" s="3091" t="s">
        <v>6803</v>
      </c>
      <c r="J211" s="3070"/>
      <c r="K211" s="3088">
        <f t="shared" si="22"/>
        <v>0</v>
      </c>
      <c r="L211" s="3069">
        <f t="shared" ref="L211:L218" ca="1" si="29">INDIRECT("Notes!CheckB"&amp;$C211)</f>
        <v>0</v>
      </c>
      <c r="M211" s="3091" t="s">
        <v>6803</v>
      </c>
      <c r="N211" s="3070"/>
      <c r="O211" s="3097"/>
      <c r="P211" s="3098"/>
      <c r="Q211" s="3098"/>
      <c r="R211" s="3098"/>
      <c r="S211" s="3099" t="s">
        <v>295</v>
      </c>
      <c r="T211" s="3099" t="s">
        <v>213</v>
      </c>
      <c r="U211" s="3100"/>
      <c r="V211" s="3100" t="s">
        <v>295</v>
      </c>
      <c r="W211" s="3100" t="s">
        <v>6797</v>
      </c>
      <c r="X211" s="3100" t="s">
        <v>213</v>
      </c>
      <c r="Y211" s="3101" t="s">
        <v>164</v>
      </c>
    </row>
    <row r="212" spans="1:25" ht="18">
      <c r="A212" s="1304"/>
      <c r="B212" s="643">
        <v>2102</v>
      </c>
      <c r="C212" s="643" t="s">
        <v>1395</v>
      </c>
      <c r="D212" s="3085">
        <v>1</v>
      </c>
      <c r="E212" s="3086" t="str">
        <f t="shared" si="26"/>
        <v>交易性金融负债</v>
      </c>
      <c r="F212" s="3087" t="s">
        <v>1396</v>
      </c>
      <c r="G212" s="3088">
        <f t="shared" si="27"/>
        <v>0</v>
      </c>
      <c r="H212" s="3089">
        <f t="shared" ca="1" si="28"/>
        <v>0</v>
      </c>
      <c r="I212" s="3091">
        <f ca="1">IF(AND(LEN(G212)&gt;0,LEN(H212)&gt;0),ROUND(SUM(G212)-SUM(H212),2),"")</f>
        <v>0</v>
      </c>
      <c r="J212" s="3070" t="str">
        <f ca="1">IF(ISNA(I212),"N/A",IF(I212=0,"√","？"))</f>
        <v>√</v>
      </c>
      <c r="K212" s="3088">
        <f t="shared" si="22"/>
        <v>0</v>
      </c>
      <c r="L212" s="3069">
        <f t="shared" ca="1" si="29"/>
        <v>0</v>
      </c>
      <c r="M212" s="3091">
        <f ca="1">IF(AND(LEN(K212)&gt;0,LEN(L212)&gt;0),ROUND(SUM(K212)-SUM(L212),2),"")</f>
        <v>0</v>
      </c>
      <c r="N212" s="3070" t="str">
        <f ca="1">IF(ISNA(M212),"N/A",IF(M212=0,"√","？"))</f>
        <v>√</v>
      </c>
      <c r="O212" s="3097"/>
      <c r="P212" s="3098"/>
      <c r="Q212" s="3098"/>
      <c r="R212" s="3098"/>
      <c r="S212" s="3099" t="s">
        <v>295</v>
      </c>
      <c r="T212" s="3099" t="s">
        <v>213</v>
      </c>
      <c r="U212" s="3100"/>
      <c r="V212" s="3100" t="s">
        <v>295</v>
      </c>
      <c r="W212" s="3100" t="s">
        <v>145</v>
      </c>
      <c r="X212" s="3100" t="s">
        <v>6800</v>
      </c>
      <c r="Y212" s="3101" t="s">
        <v>119</v>
      </c>
    </row>
    <row r="213" spans="1:25" ht="48" hidden="1">
      <c r="A213" s="1304"/>
      <c r="B213" s="643">
        <v>2102</v>
      </c>
      <c r="C213" s="643" t="s">
        <v>1400</v>
      </c>
      <c r="D213" s="3085">
        <v>2</v>
      </c>
      <c r="E213" s="3086" t="str">
        <f t="shared" si="26"/>
        <v>交易性金融负债</v>
      </c>
      <c r="F213" s="3087" t="s">
        <v>1401</v>
      </c>
      <c r="G213" s="3088">
        <f t="shared" si="27"/>
        <v>0</v>
      </c>
      <c r="H213" s="3089">
        <f t="shared" ca="1" si="28"/>
        <v>0</v>
      </c>
      <c r="I213" s="3091" t="s">
        <v>6803</v>
      </c>
      <c r="J213" s="3070"/>
      <c r="K213" s="3088">
        <f t="shared" si="22"/>
        <v>0</v>
      </c>
      <c r="L213" s="3069">
        <f t="shared" ca="1" si="29"/>
        <v>0</v>
      </c>
      <c r="M213" s="3091" t="s">
        <v>6803</v>
      </c>
      <c r="N213" s="3070"/>
      <c r="O213" s="3097"/>
      <c r="P213" s="3098"/>
      <c r="Q213" s="3098"/>
      <c r="R213" s="3098"/>
      <c r="S213" s="3099" t="s">
        <v>295</v>
      </c>
      <c r="T213" s="3099" t="s">
        <v>213</v>
      </c>
      <c r="U213" s="3100"/>
      <c r="V213" s="3100" t="s">
        <v>295</v>
      </c>
      <c r="W213" s="3100" t="s">
        <v>145</v>
      </c>
      <c r="X213" s="3100" t="s">
        <v>6800</v>
      </c>
      <c r="Y213" s="3101" t="s">
        <v>119</v>
      </c>
    </row>
    <row r="214" spans="1:25" ht="36">
      <c r="A214" s="1304"/>
      <c r="B214" s="643">
        <v>2101</v>
      </c>
      <c r="C214" s="643" t="s">
        <v>1390</v>
      </c>
      <c r="D214" s="3085">
        <v>1</v>
      </c>
      <c r="E214" s="3086" t="str">
        <f t="shared" si="26"/>
        <v>以公允价值计量且其变动计入当期损益的金融负债</v>
      </c>
      <c r="F214" s="3087" t="s">
        <v>1391</v>
      </c>
      <c r="G214" s="3088">
        <f t="shared" si="27"/>
        <v>0</v>
      </c>
      <c r="H214" s="3089">
        <f t="shared" ca="1" si="28"/>
        <v>0</v>
      </c>
      <c r="I214" s="3091">
        <f ca="1">IF(AND(LEN(G214)&gt;0,LEN(H214)&gt;0),ROUND(SUM(G214)-SUM(H214),2),"")</f>
        <v>0</v>
      </c>
      <c r="J214" s="3070" t="str">
        <f ca="1">IF(ISNA(I214),"N/A",IF(I214=0,"√","？"))</f>
        <v>√</v>
      </c>
      <c r="K214" s="3088">
        <f t="shared" si="22"/>
        <v>0</v>
      </c>
      <c r="L214" s="3069">
        <f t="shared" ca="1" si="29"/>
        <v>0</v>
      </c>
      <c r="M214" s="3091">
        <f ca="1">IF(AND(LEN(K214)&gt;0,LEN(L214)&gt;0),ROUND(SUM(K214)-SUM(L214),2),"")</f>
        <v>0</v>
      </c>
      <c r="N214" s="3070" t="str">
        <f ca="1">IF(ISNA(M214),"N/A",IF(M214=0,"√","？"))</f>
        <v>√</v>
      </c>
      <c r="O214" s="3097"/>
      <c r="P214" s="3098"/>
      <c r="Q214" s="3098"/>
      <c r="R214" s="3098"/>
      <c r="S214" s="3099" t="s">
        <v>295</v>
      </c>
      <c r="T214" s="3099" t="s">
        <v>213</v>
      </c>
      <c r="U214" s="3100"/>
      <c r="V214" s="3100" t="s">
        <v>295</v>
      </c>
      <c r="W214" s="3100" t="s">
        <v>6797</v>
      </c>
      <c r="X214" s="3100" t="s">
        <v>6798</v>
      </c>
      <c r="Y214" s="3101" t="s">
        <v>164</v>
      </c>
    </row>
    <row r="215" spans="1:25" ht="18">
      <c r="A215" s="1304"/>
      <c r="B215" s="643">
        <v>2115</v>
      </c>
      <c r="C215" s="643" t="s">
        <v>1405</v>
      </c>
      <c r="D215" s="3085">
        <v>1</v>
      </c>
      <c r="E215" s="3086" t="str">
        <f t="shared" si="26"/>
        <v>衍生金融负债</v>
      </c>
      <c r="F215" s="3087" t="s">
        <v>1406</v>
      </c>
      <c r="G215" s="3088">
        <f t="shared" si="27"/>
        <v>0</v>
      </c>
      <c r="H215" s="3089">
        <f t="shared" ca="1" si="28"/>
        <v>0</v>
      </c>
      <c r="I215" s="3091">
        <f ca="1">IF(AND(LEN(G215)&gt;0,LEN(H215)&gt;0),ROUND(SUM(G215)-SUM(H215),2),"")</f>
        <v>0</v>
      </c>
      <c r="J215" s="3070" t="str">
        <f ca="1">IF(ISNA(I215),"N/A",IF(I215=0,"√","？"))</f>
        <v>√</v>
      </c>
      <c r="K215" s="3088">
        <f t="shared" si="22"/>
        <v>0</v>
      </c>
      <c r="L215" s="3069">
        <f t="shared" ca="1" si="29"/>
        <v>0</v>
      </c>
      <c r="M215" s="3091">
        <f ca="1">IF(AND(LEN(K215)&gt;0,LEN(L215)&gt;0),ROUND(SUM(K215)-SUM(L215),2),"")</f>
        <v>0</v>
      </c>
      <c r="N215" s="3070" t="str">
        <f ca="1">IF(ISNA(M215),"N/A",IF(M215=0,"√","？"))</f>
        <v>√</v>
      </c>
      <c r="O215" s="3097"/>
      <c r="P215" s="3098"/>
      <c r="Q215" s="3098"/>
      <c r="R215" s="3098"/>
      <c r="S215" s="3099" t="s">
        <v>295</v>
      </c>
      <c r="T215" s="3099" t="s">
        <v>213</v>
      </c>
      <c r="U215" s="3100"/>
      <c r="V215" s="3100" t="s">
        <v>295</v>
      </c>
      <c r="W215" s="3100" t="s">
        <v>6797</v>
      </c>
      <c r="X215" s="3100" t="s">
        <v>6798</v>
      </c>
      <c r="Y215" s="3101" t="s">
        <v>164</v>
      </c>
    </row>
    <row r="216" spans="1:25" ht="18">
      <c r="A216" s="1304"/>
      <c r="B216" s="643">
        <v>2201</v>
      </c>
      <c r="C216" s="643" t="s">
        <v>1410</v>
      </c>
      <c r="D216" s="3085">
        <v>1</v>
      </c>
      <c r="E216" s="3086" t="str">
        <f t="shared" si="26"/>
        <v>应付票据</v>
      </c>
      <c r="F216" s="3087" t="s">
        <v>1411</v>
      </c>
      <c r="G216" s="3088">
        <f t="shared" si="27"/>
        <v>0</v>
      </c>
      <c r="H216" s="3089">
        <f t="shared" ca="1" si="28"/>
        <v>0</v>
      </c>
      <c r="I216" s="3091">
        <f ca="1">IF(AND(LEN(G216)&gt;0,LEN(H216)&gt;0),ROUND(SUM(G216)-SUM(H216),2),"")</f>
        <v>0</v>
      </c>
      <c r="J216" s="3070" t="str">
        <f ca="1">IF(ISNA(I216),"N/A",IF(I216=0,"√","？"))</f>
        <v>√</v>
      </c>
      <c r="K216" s="3088">
        <f t="shared" si="22"/>
        <v>0</v>
      </c>
      <c r="L216" s="3069">
        <f t="shared" ca="1" si="29"/>
        <v>0</v>
      </c>
      <c r="M216" s="3091">
        <f ca="1">IF(AND(LEN(K216)&gt;0,LEN(L216)&gt;0),ROUND(SUM(K216)-SUM(L216),2),"")</f>
        <v>0</v>
      </c>
      <c r="N216" s="3070" t="str">
        <f ca="1">IF(ISNA(M216),"N/A",IF(M216=0,"√","？"))</f>
        <v>√</v>
      </c>
      <c r="O216" s="3097"/>
      <c r="P216" s="3098"/>
      <c r="Q216" s="3098"/>
      <c r="R216" s="3098"/>
      <c r="S216" s="3099" t="s">
        <v>295</v>
      </c>
      <c r="T216" s="3099" t="s">
        <v>213</v>
      </c>
      <c r="U216" s="3100"/>
      <c r="V216" s="3100" t="s">
        <v>295</v>
      </c>
      <c r="W216" s="3100" t="s">
        <v>6797</v>
      </c>
      <c r="X216" s="3100" t="s">
        <v>6798</v>
      </c>
      <c r="Y216" s="3101" t="s">
        <v>164</v>
      </c>
    </row>
    <row r="217" spans="1:25" ht="18">
      <c r="A217" s="1304"/>
      <c r="B217" s="643">
        <v>2202</v>
      </c>
      <c r="C217" s="643" t="s">
        <v>1416</v>
      </c>
      <c r="D217" s="3085">
        <v>1</v>
      </c>
      <c r="E217" s="3086" t="str">
        <f t="shared" si="26"/>
        <v>应付账款</v>
      </c>
      <c r="F217" s="3087" t="s">
        <v>1417</v>
      </c>
      <c r="G217" s="3088">
        <f t="shared" si="27"/>
        <v>0</v>
      </c>
      <c r="H217" s="3089">
        <f t="shared" ca="1" si="28"/>
        <v>0</v>
      </c>
      <c r="I217" s="3091">
        <f ca="1">IF(AND(LEN(G217)&gt;0,LEN(H217)&gt;0),ROUND(SUM(G217)-SUM(H217),2),"")</f>
        <v>0</v>
      </c>
      <c r="J217" s="3070" t="str">
        <f ca="1">IF(ISNA(I217),"N/A",IF(I217=0,"√","？"))</f>
        <v>√</v>
      </c>
      <c r="K217" s="3088">
        <f t="shared" si="22"/>
        <v>0</v>
      </c>
      <c r="L217" s="3069">
        <f t="shared" ca="1" si="29"/>
        <v>0</v>
      </c>
      <c r="M217" s="3091">
        <f ca="1">IF(AND(LEN(K217)&gt;0,LEN(L217)&gt;0),ROUND(SUM(K217)-SUM(L217),2),"")</f>
        <v>0</v>
      </c>
      <c r="N217" s="3070" t="str">
        <f ca="1">IF(ISNA(M217),"N/A",IF(M217=0,"√","？"))</f>
        <v>√</v>
      </c>
      <c r="O217" s="3097"/>
      <c r="P217" s="3098"/>
      <c r="Q217" s="3098"/>
      <c r="R217" s="3098"/>
      <c r="S217" s="3099" t="s">
        <v>295</v>
      </c>
      <c r="T217" s="3099" t="s">
        <v>213</v>
      </c>
      <c r="U217" s="3100"/>
      <c r="V217" s="3100" t="s">
        <v>295</v>
      </c>
      <c r="W217" s="3100" t="s">
        <v>6797</v>
      </c>
      <c r="X217" s="3100" t="s">
        <v>6798</v>
      </c>
      <c r="Y217" s="3101" t="s">
        <v>164</v>
      </c>
    </row>
    <row r="218" spans="1:25" ht="18">
      <c r="A218" s="1304"/>
      <c r="B218" s="643">
        <v>2202</v>
      </c>
      <c r="C218" s="643" t="s">
        <v>1427</v>
      </c>
      <c r="D218" s="3085">
        <v>1</v>
      </c>
      <c r="E218" s="3086" t="str">
        <f t="shared" si="26"/>
        <v>应付账款</v>
      </c>
      <c r="F218" s="3087" t="s">
        <v>1428</v>
      </c>
      <c r="G218" s="3088">
        <f t="shared" si="27"/>
        <v>0</v>
      </c>
      <c r="H218" s="3089">
        <f t="shared" ca="1" si="28"/>
        <v>0</v>
      </c>
      <c r="I218" s="3091">
        <f ca="1">IF(AND(LEN(G218)&gt;0,LEN(H218)&gt;0),ROUND(SUM(G218)-SUM(H218),2),"")</f>
        <v>0</v>
      </c>
      <c r="J218" s="3070" t="str">
        <f ca="1">IF(ISNA(I218),"N/A",IF(I218=0,"√","？"))</f>
        <v>√</v>
      </c>
      <c r="K218" s="3088">
        <f t="shared" si="22"/>
        <v>0</v>
      </c>
      <c r="L218" s="3069">
        <f t="shared" ca="1" si="29"/>
        <v>0</v>
      </c>
      <c r="M218" s="3091">
        <f ca="1">IF(AND(LEN(K218)&gt;0,LEN(L218)&gt;0),ROUND(SUM(K218)-SUM(L218),2),"")</f>
        <v>0</v>
      </c>
      <c r="N218" s="3070" t="str">
        <f ca="1">IF(ISNA(M218),"N/A",IF(M218=0,"√","？"))</f>
        <v>√</v>
      </c>
      <c r="O218" s="3097"/>
      <c r="P218" s="3098"/>
      <c r="Q218" s="3098"/>
      <c r="R218" s="3098"/>
      <c r="S218" s="3099" t="s">
        <v>295</v>
      </c>
      <c r="T218" s="3099" t="s">
        <v>213</v>
      </c>
      <c r="U218" s="3100"/>
      <c r="V218" s="3100" t="s">
        <v>295</v>
      </c>
      <c r="W218" s="3100" t="s">
        <v>6797</v>
      </c>
      <c r="X218" s="3100" t="s">
        <v>213</v>
      </c>
      <c r="Y218" s="3101" t="s">
        <v>164</v>
      </c>
    </row>
    <row r="219" spans="1:25" ht="24" hidden="1">
      <c r="A219" s="1304"/>
      <c r="B219" s="643">
        <v>2202</v>
      </c>
      <c r="C219" s="643" t="s">
        <v>1421</v>
      </c>
      <c r="D219" s="3085">
        <v>2</v>
      </c>
      <c r="E219" s="3086" t="str">
        <f t="shared" si="26"/>
        <v>应付账款</v>
      </c>
      <c r="F219" s="3087" t="s">
        <v>1422</v>
      </c>
      <c r="G219" s="3088">
        <f t="shared" si="27"/>
        <v>0</v>
      </c>
      <c r="H219" s="3089">
        <f t="shared" ca="1" si="28"/>
        <v>0</v>
      </c>
      <c r="I219" s="3091" t="s">
        <v>6803</v>
      </c>
      <c r="J219" s="3070"/>
      <c r="K219" s="3088">
        <f t="shared" si="22"/>
        <v>0</v>
      </c>
      <c r="L219" s="3069" t="s">
        <v>6799</v>
      </c>
      <c r="M219" s="3091" t="s">
        <v>6803</v>
      </c>
      <c r="N219" s="3070"/>
      <c r="O219" s="3097"/>
      <c r="P219" s="3098"/>
      <c r="Q219" s="3098"/>
      <c r="R219" s="3098"/>
      <c r="S219" s="3099" t="s">
        <v>295</v>
      </c>
      <c r="T219" s="3099" t="s">
        <v>213</v>
      </c>
      <c r="U219" s="3100"/>
      <c r="V219" s="3100" t="s">
        <v>295</v>
      </c>
      <c r="W219" s="3100" t="s">
        <v>6797</v>
      </c>
      <c r="X219" s="3100" t="s">
        <v>6798</v>
      </c>
      <c r="Y219" s="3101" t="s">
        <v>164</v>
      </c>
    </row>
    <row r="220" spans="1:25" ht="18" hidden="1">
      <c r="A220" s="1304"/>
      <c r="B220" s="643">
        <v>2202</v>
      </c>
      <c r="C220" s="643" t="s">
        <v>1437</v>
      </c>
      <c r="D220" s="3085">
        <v>2</v>
      </c>
      <c r="E220" s="3086" t="str">
        <f t="shared" si="26"/>
        <v>应付账款</v>
      </c>
      <c r="F220" s="3087" t="s">
        <v>1438</v>
      </c>
      <c r="G220" s="3088">
        <f t="shared" si="27"/>
        <v>0</v>
      </c>
      <c r="H220" s="3089">
        <f t="shared" ca="1" si="28"/>
        <v>0</v>
      </c>
      <c r="I220" s="3091" t="s">
        <v>6803</v>
      </c>
      <c r="J220" s="3070"/>
      <c r="K220" s="3088">
        <f t="shared" si="22"/>
        <v>0</v>
      </c>
      <c r="L220" s="3069" t="s">
        <v>6799</v>
      </c>
      <c r="M220" s="3091" t="s">
        <v>6803</v>
      </c>
      <c r="N220" s="3070"/>
      <c r="O220" s="3097"/>
      <c r="P220" s="3098"/>
      <c r="Q220" s="3098"/>
      <c r="R220" s="3098"/>
      <c r="S220" s="3099" t="s">
        <v>295</v>
      </c>
      <c r="T220" s="3099" t="s">
        <v>213</v>
      </c>
      <c r="U220" s="3100"/>
      <c r="V220" s="3100" t="s">
        <v>295</v>
      </c>
      <c r="W220" s="3100" t="s">
        <v>6797</v>
      </c>
      <c r="X220" s="3100" t="s">
        <v>213</v>
      </c>
      <c r="Y220" s="3101" t="s">
        <v>164</v>
      </c>
    </row>
    <row r="221" spans="1:25" ht="24" hidden="1">
      <c r="A221" s="1304"/>
      <c r="B221" s="643">
        <v>2202</v>
      </c>
      <c r="C221" s="643" t="s">
        <v>1432</v>
      </c>
      <c r="D221" s="3085">
        <v>2</v>
      </c>
      <c r="E221" s="3086" t="str">
        <f t="shared" si="26"/>
        <v>应付账款</v>
      </c>
      <c r="F221" s="3087" t="s">
        <v>1433</v>
      </c>
      <c r="G221" s="3088">
        <f t="shared" si="27"/>
        <v>0</v>
      </c>
      <c r="H221" s="3089" t="s">
        <v>6799</v>
      </c>
      <c r="I221" s="3091" t="s">
        <v>6803</v>
      </c>
      <c r="J221" s="3070"/>
      <c r="K221" s="3088">
        <f t="shared" si="22"/>
        <v>0</v>
      </c>
      <c r="L221" s="3069" t="s">
        <v>6799</v>
      </c>
      <c r="M221" s="3091" t="s">
        <v>6803</v>
      </c>
      <c r="N221" s="3070"/>
      <c r="O221" s="3097"/>
      <c r="P221" s="3098"/>
      <c r="Q221" s="3098"/>
      <c r="R221" s="3098"/>
      <c r="S221" s="3099" t="s">
        <v>295</v>
      </c>
      <c r="T221" s="3099" t="s">
        <v>213</v>
      </c>
      <c r="U221" s="3100"/>
      <c r="V221" s="3100" t="s">
        <v>295</v>
      </c>
      <c r="W221" s="3100" t="s">
        <v>6797</v>
      </c>
      <c r="X221" s="3100" t="s">
        <v>213</v>
      </c>
      <c r="Y221" s="3101" t="s">
        <v>164</v>
      </c>
    </row>
    <row r="222" spans="1:25" ht="24" hidden="1">
      <c r="A222" s="1304"/>
      <c r="B222" s="643">
        <v>2202</v>
      </c>
      <c r="C222" s="643" t="s">
        <v>1443</v>
      </c>
      <c r="D222" s="3085">
        <v>2</v>
      </c>
      <c r="E222" s="3086" t="str">
        <f t="shared" si="26"/>
        <v>应付账款</v>
      </c>
      <c r="F222" s="3087" t="s">
        <v>1444</v>
      </c>
      <c r="G222" s="3088">
        <f t="shared" si="27"/>
        <v>0</v>
      </c>
      <c r="H222" s="3089">
        <f t="shared" ref="H222:H228" ca="1" si="30">INDIRECT("Notes!CheckA"&amp;$C222)</f>
        <v>0</v>
      </c>
      <c r="I222" s="3091" t="s">
        <v>6803</v>
      </c>
      <c r="J222" s="3070"/>
      <c r="K222" s="3088">
        <f t="shared" si="22"/>
        <v>0</v>
      </c>
      <c r="L222" s="3069" t="s">
        <v>6799</v>
      </c>
      <c r="M222" s="3091" t="s">
        <v>6803</v>
      </c>
      <c r="N222" s="3070"/>
      <c r="O222" s="3097"/>
      <c r="P222" s="3098"/>
      <c r="Q222" s="3098"/>
      <c r="R222" s="3098"/>
      <c r="S222" s="3099" t="s">
        <v>295</v>
      </c>
      <c r="T222" s="3099" t="s">
        <v>213</v>
      </c>
      <c r="U222" s="3100"/>
      <c r="V222" s="3100" t="s">
        <v>295</v>
      </c>
      <c r="W222" s="3100" t="s">
        <v>6797</v>
      </c>
      <c r="X222" s="3100" t="s">
        <v>213</v>
      </c>
      <c r="Y222" s="3101" t="s">
        <v>164</v>
      </c>
    </row>
    <row r="223" spans="1:25" ht="18" hidden="1">
      <c r="A223" s="1304"/>
      <c r="B223" s="643">
        <v>2202</v>
      </c>
      <c r="C223" s="643" t="s">
        <v>1448</v>
      </c>
      <c r="D223" s="3085">
        <v>2</v>
      </c>
      <c r="E223" s="3086" t="str">
        <f t="shared" si="26"/>
        <v>应付账款</v>
      </c>
      <c r="F223" s="3087" t="s">
        <v>1449</v>
      </c>
      <c r="G223" s="3088">
        <f t="shared" si="27"/>
        <v>0</v>
      </c>
      <c r="H223" s="3089">
        <f t="shared" ca="1" si="30"/>
        <v>0</v>
      </c>
      <c r="I223" s="3091" t="s">
        <v>6803</v>
      </c>
      <c r="J223" s="3070"/>
      <c r="K223" s="3088">
        <f t="shared" ref="K223:K286" si="31">IF(ISERROR(VLOOKUP($B223,Sheet_Trialbal,10,0)),"        ----",VLOOKUP($B223,Sheet_Trialbal,10,0))</f>
        <v>0</v>
      </c>
      <c r="L223" s="3069" t="s">
        <v>6799</v>
      </c>
      <c r="M223" s="3091" t="s">
        <v>6803</v>
      </c>
      <c r="N223" s="3070"/>
      <c r="O223" s="3097"/>
      <c r="P223" s="3098"/>
      <c r="Q223" s="3098"/>
      <c r="R223" s="3098"/>
      <c r="S223" s="3099" t="s">
        <v>295</v>
      </c>
      <c r="T223" s="3099" t="s">
        <v>213</v>
      </c>
      <c r="U223" s="3100"/>
      <c r="V223" s="3100" t="s">
        <v>295</v>
      </c>
      <c r="W223" s="3100" t="s">
        <v>6797</v>
      </c>
      <c r="X223" s="3100" t="s">
        <v>213</v>
      </c>
      <c r="Y223" s="3101" t="s">
        <v>164</v>
      </c>
    </row>
    <row r="224" spans="1:25" ht="18">
      <c r="A224" s="1304"/>
      <c r="B224" s="643">
        <v>2205</v>
      </c>
      <c r="C224" s="643" t="s">
        <v>1458</v>
      </c>
      <c r="D224" s="3085">
        <v>1</v>
      </c>
      <c r="E224" s="3086" t="str">
        <f t="shared" si="26"/>
        <v>预收款项</v>
      </c>
      <c r="F224" s="3087" t="s">
        <v>1459</v>
      </c>
      <c r="G224" s="3088">
        <f t="shared" si="27"/>
        <v>0</v>
      </c>
      <c r="H224" s="3089">
        <f t="shared" ca="1" si="30"/>
        <v>0</v>
      </c>
      <c r="I224" s="3091">
        <f ca="1">IF(AND(LEN(G224)&gt;0,LEN(H224)&gt;0),ROUND(SUM(G224)-SUM(H224),2),"")</f>
        <v>0</v>
      </c>
      <c r="J224" s="3070" t="str">
        <f ca="1">IF(ISNA(I224),"N/A",IF(I224=0,"√","？"))</f>
        <v>√</v>
      </c>
      <c r="K224" s="3088">
        <f t="shared" si="31"/>
        <v>214017.93</v>
      </c>
      <c r="L224" s="3069">
        <f ca="1">INDIRECT("Notes!CheckB"&amp;$C224)</f>
        <v>0</v>
      </c>
      <c r="M224" s="3091">
        <f ca="1">IF(AND(LEN(K224)&gt;0,LEN(L224)&gt;0),ROUND(SUM(K224)-SUM(L224),2),"")</f>
        <v>214017.93</v>
      </c>
      <c r="N224" s="3070" t="str">
        <f ca="1">IF(ISNA(M224),"N/A",IF(M224=0,"√","？"))</f>
        <v>？</v>
      </c>
      <c r="O224" s="3097"/>
      <c r="P224" s="3098"/>
      <c r="Q224" s="3098"/>
      <c r="R224" s="3098"/>
      <c r="S224" s="3099" t="s">
        <v>295</v>
      </c>
      <c r="T224" s="3099" t="s">
        <v>213</v>
      </c>
      <c r="U224" s="3100"/>
      <c r="V224" s="3100" t="s">
        <v>295</v>
      </c>
      <c r="W224" s="3100" t="s">
        <v>6797</v>
      </c>
      <c r="X224" s="3100" t="s">
        <v>6798</v>
      </c>
      <c r="Y224" s="3101" t="s">
        <v>164</v>
      </c>
    </row>
    <row r="225" spans="1:25" ht="18">
      <c r="A225" s="1304"/>
      <c r="B225" s="643">
        <v>2205</v>
      </c>
      <c r="C225" s="643" t="s">
        <v>1490</v>
      </c>
      <c r="D225" s="3085">
        <v>1</v>
      </c>
      <c r="E225" s="3086" t="str">
        <f t="shared" si="26"/>
        <v>预收款项</v>
      </c>
      <c r="F225" s="3087" t="s">
        <v>1491</v>
      </c>
      <c r="G225" s="3088">
        <f t="shared" si="27"/>
        <v>0</v>
      </c>
      <c r="H225" s="3089">
        <f t="shared" ca="1" si="30"/>
        <v>0</v>
      </c>
      <c r="I225" s="3091">
        <f ca="1">IF(AND(LEN(G225)&gt;0,LEN(H225)&gt;0),ROUND(SUM(G225)-SUM(H225),2),"")</f>
        <v>0</v>
      </c>
      <c r="J225" s="3070" t="str">
        <f ca="1">IF(ISNA(I225),"N/A",IF(I225=0,"√","？"))</f>
        <v>√</v>
      </c>
      <c r="K225" s="3088">
        <f t="shared" si="31"/>
        <v>214017.93</v>
      </c>
      <c r="L225" s="3069">
        <f ca="1">INDIRECT("Notes!CheckB"&amp;$C225)</f>
        <v>0</v>
      </c>
      <c r="M225" s="3091">
        <f ca="1">IF(AND(LEN(K225)&gt;0,LEN(L225)&gt;0),ROUND(SUM(K225)-SUM(L225),2),"")</f>
        <v>214017.93</v>
      </c>
      <c r="N225" s="3070" t="str">
        <f ca="1">IF(ISNA(M225),"N/A",IF(M225=0,"√","？"))</f>
        <v>？</v>
      </c>
      <c r="O225" s="3097"/>
      <c r="P225" s="3098"/>
      <c r="Q225" s="3098"/>
      <c r="R225" s="3098"/>
      <c r="S225" s="3099" t="s">
        <v>295</v>
      </c>
      <c r="T225" s="3099" t="s">
        <v>213</v>
      </c>
      <c r="U225" s="3100"/>
      <c r="V225" s="3100" t="s">
        <v>295</v>
      </c>
      <c r="W225" s="3100" t="s">
        <v>6797</v>
      </c>
      <c r="X225" s="3100" t="s">
        <v>213</v>
      </c>
      <c r="Y225" s="3101" t="s">
        <v>164</v>
      </c>
    </row>
    <row r="226" spans="1:25" ht="24" hidden="1">
      <c r="A226" s="1304"/>
      <c r="B226" s="643">
        <v>2205</v>
      </c>
      <c r="C226" s="643" t="s">
        <v>1463</v>
      </c>
      <c r="D226" s="3085">
        <v>2</v>
      </c>
      <c r="E226" s="3086" t="str">
        <f t="shared" si="26"/>
        <v>预收款项</v>
      </c>
      <c r="F226" s="3087" t="s">
        <v>1464</v>
      </c>
      <c r="G226" s="3088">
        <f t="shared" si="27"/>
        <v>0</v>
      </c>
      <c r="H226" s="3089">
        <f t="shared" ca="1" si="30"/>
        <v>0</v>
      </c>
      <c r="I226" s="3091" t="s">
        <v>6803</v>
      </c>
      <c r="J226" s="3070"/>
      <c r="K226" s="3088">
        <f t="shared" si="31"/>
        <v>214017.93</v>
      </c>
      <c r="L226" s="3069" t="s">
        <v>6799</v>
      </c>
      <c r="M226" s="3091" t="s">
        <v>6803</v>
      </c>
      <c r="N226" s="3070"/>
      <c r="O226" s="3097"/>
      <c r="P226" s="3098"/>
      <c r="Q226" s="3098"/>
      <c r="R226" s="3098"/>
      <c r="S226" s="3099" t="s">
        <v>295</v>
      </c>
      <c r="T226" s="3099" t="s">
        <v>213</v>
      </c>
      <c r="U226" s="3100"/>
      <c r="V226" s="3100" t="s">
        <v>295</v>
      </c>
      <c r="W226" s="3100" t="s">
        <v>6797</v>
      </c>
      <c r="X226" s="3100" t="s">
        <v>6798</v>
      </c>
      <c r="Y226" s="3101" t="s">
        <v>164</v>
      </c>
    </row>
    <row r="227" spans="1:25" ht="24" hidden="1">
      <c r="A227" s="1304"/>
      <c r="B227" s="643">
        <v>2205</v>
      </c>
      <c r="C227" s="643" t="s">
        <v>1469</v>
      </c>
      <c r="D227" s="3085">
        <v>2</v>
      </c>
      <c r="E227" s="3086" t="str">
        <f t="shared" si="26"/>
        <v>预收款项</v>
      </c>
      <c r="F227" s="3087" t="s">
        <v>1470</v>
      </c>
      <c r="G227" s="3088">
        <f t="shared" si="27"/>
        <v>0</v>
      </c>
      <c r="H227" s="3089">
        <f t="shared" ca="1" si="30"/>
        <v>0</v>
      </c>
      <c r="I227" s="3091" t="s">
        <v>6803</v>
      </c>
      <c r="J227" s="3070"/>
      <c r="K227" s="3088">
        <f t="shared" si="31"/>
        <v>214017.93</v>
      </c>
      <c r="L227" s="3069" t="s">
        <v>6799</v>
      </c>
      <c r="M227" s="3091" t="s">
        <v>6803</v>
      </c>
      <c r="N227" s="3070"/>
      <c r="O227" s="3097"/>
      <c r="P227" s="3098"/>
      <c r="Q227" s="3098"/>
      <c r="R227" s="3098"/>
      <c r="S227" s="3099" t="s">
        <v>295</v>
      </c>
      <c r="T227" s="3099" t="s">
        <v>213</v>
      </c>
      <c r="U227" s="3100"/>
      <c r="V227" s="3100" t="s">
        <v>295</v>
      </c>
      <c r="W227" s="3100" t="s">
        <v>6797</v>
      </c>
      <c r="X227" s="3100" t="s">
        <v>6800</v>
      </c>
      <c r="Y227" s="3101" t="s">
        <v>164</v>
      </c>
    </row>
    <row r="228" spans="1:25" ht="24" hidden="1">
      <c r="A228" s="1304"/>
      <c r="B228" s="643">
        <v>2205</v>
      </c>
      <c r="C228" s="643" t="s">
        <v>1485</v>
      </c>
      <c r="D228" s="3085">
        <v>2</v>
      </c>
      <c r="E228" s="3086" t="str">
        <f t="shared" si="26"/>
        <v>预收款项</v>
      </c>
      <c r="F228" s="3087" t="s">
        <v>1486</v>
      </c>
      <c r="G228" s="3088">
        <f t="shared" si="27"/>
        <v>0</v>
      </c>
      <c r="H228" s="3089">
        <f t="shared" ca="1" si="30"/>
        <v>0</v>
      </c>
      <c r="I228" s="3091" t="s">
        <v>6803</v>
      </c>
      <c r="J228" s="3070"/>
      <c r="K228" s="3088">
        <f t="shared" si="31"/>
        <v>214017.93</v>
      </c>
      <c r="L228" s="3069">
        <f ca="1">INDIRECT("Notes!CheckB"&amp;$C228)</f>
        <v>0</v>
      </c>
      <c r="M228" s="3091" t="s">
        <v>6803</v>
      </c>
      <c r="N228" s="3070"/>
      <c r="O228" s="3097"/>
      <c r="P228" s="3098"/>
      <c r="Q228" s="3098"/>
      <c r="R228" s="3098"/>
      <c r="S228" s="3099" t="s">
        <v>295</v>
      </c>
      <c r="T228" s="3099" t="s">
        <v>213</v>
      </c>
      <c r="U228" s="3100"/>
      <c r="V228" s="3100" t="s">
        <v>295</v>
      </c>
      <c r="W228" s="3100" t="s">
        <v>6797</v>
      </c>
      <c r="X228" s="3100" t="s">
        <v>213</v>
      </c>
      <c r="Y228" s="3101" t="s">
        <v>164</v>
      </c>
    </row>
    <row r="229" spans="1:25" ht="24" hidden="1">
      <c r="A229" s="1304"/>
      <c r="B229" s="643">
        <v>2205</v>
      </c>
      <c r="C229" s="643" t="s">
        <v>1474</v>
      </c>
      <c r="D229" s="3085">
        <v>2</v>
      </c>
      <c r="E229" s="3086" t="str">
        <f t="shared" si="26"/>
        <v>预收款项</v>
      </c>
      <c r="F229" s="3087" t="s">
        <v>1475</v>
      </c>
      <c r="G229" s="3088">
        <f t="shared" si="27"/>
        <v>0</v>
      </c>
      <c r="H229" s="3089" t="s">
        <v>6799</v>
      </c>
      <c r="I229" s="3091" t="s">
        <v>6803</v>
      </c>
      <c r="J229" s="3070"/>
      <c r="K229" s="3088">
        <f t="shared" si="31"/>
        <v>214017.93</v>
      </c>
      <c r="L229" s="3069" t="s">
        <v>6799</v>
      </c>
      <c r="M229" s="3091" t="s">
        <v>6803</v>
      </c>
      <c r="N229" s="3070"/>
      <c r="O229" s="3097"/>
      <c r="P229" s="3098"/>
      <c r="Q229" s="3098"/>
      <c r="R229" s="3098"/>
      <c r="S229" s="3099" t="s">
        <v>295</v>
      </c>
      <c r="T229" s="3099" t="s">
        <v>213</v>
      </c>
      <c r="U229" s="3100"/>
      <c r="V229" s="3100" t="s">
        <v>295</v>
      </c>
      <c r="W229" s="3100" t="s">
        <v>6797</v>
      </c>
      <c r="X229" s="3100" t="s">
        <v>213</v>
      </c>
      <c r="Y229" s="3101" t="s">
        <v>164</v>
      </c>
    </row>
    <row r="230" spans="1:25" ht="18" hidden="1">
      <c r="A230" s="1304"/>
      <c r="B230" s="643">
        <v>2205</v>
      </c>
      <c r="C230" s="643" t="s">
        <v>1495</v>
      </c>
      <c r="D230" s="3085">
        <v>2</v>
      </c>
      <c r="E230" s="3086" t="str">
        <f t="shared" si="26"/>
        <v>预收款项</v>
      </c>
      <c r="F230" s="3087" t="s">
        <v>1496</v>
      </c>
      <c r="G230" s="3088">
        <f t="shared" si="27"/>
        <v>0</v>
      </c>
      <c r="H230" s="3089">
        <f t="shared" ref="H230:H239" ca="1" si="32">INDIRECT("Notes!CheckA"&amp;$C230)</f>
        <v>0</v>
      </c>
      <c r="I230" s="3091" t="s">
        <v>6803</v>
      </c>
      <c r="J230" s="3070"/>
      <c r="K230" s="3088">
        <f t="shared" si="31"/>
        <v>214017.93</v>
      </c>
      <c r="L230" s="3069" t="s">
        <v>6799</v>
      </c>
      <c r="M230" s="3091" t="s">
        <v>6803</v>
      </c>
      <c r="N230" s="3070"/>
      <c r="O230" s="3097"/>
      <c r="P230" s="3098"/>
      <c r="Q230" s="3098"/>
      <c r="R230" s="3098"/>
      <c r="S230" s="3099" t="s">
        <v>295</v>
      </c>
      <c r="T230" s="3099" t="s">
        <v>213</v>
      </c>
      <c r="U230" s="3100"/>
      <c r="V230" s="3100" t="s">
        <v>295</v>
      </c>
      <c r="W230" s="3100" t="s">
        <v>6797</v>
      </c>
      <c r="X230" s="3100" t="s">
        <v>213</v>
      </c>
      <c r="Y230" s="3101" t="s">
        <v>164</v>
      </c>
    </row>
    <row r="231" spans="1:25" ht="18">
      <c r="A231" s="1304"/>
      <c r="B231" s="643">
        <v>2211</v>
      </c>
      <c r="C231" s="643" t="s">
        <v>1500</v>
      </c>
      <c r="D231" s="3085">
        <v>1</v>
      </c>
      <c r="E231" s="3086" t="str">
        <f t="shared" si="26"/>
        <v>应付职工薪酬</v>
      </c>
      <c r="F231" s="3087" t="s">
        <v>1501</v>
      </c>
      <c r="G231" s="3088">
        <f t="shared" si="27"/>
        <v>0</v>
      </c>
      <c r="H231" s="3089">
        <f t="shared" ca="1" si="32"/>
        <v>30981.74</v>
      </c>
      <c r="I231" s="3091">
        <f ca="1">IF(AND(LEN(G231)&gt;0,LEN(H231)&gt;0),ROUND(SUM(G231)-SUM(H231),2),"")</f>
        <v>-30981.74</v>
      </c>
      <c r="J231" s="3070" t="str">
        <f ca="1">IF(ISNA(I231),"N/A",IF(I231=0,"√","？"))</f>
        <v>？</v>
      </c>
      <c r="K231" s="3088">
        <f t="shared" si="31"/>
        <v>1303107.67</v>
      </c>
      <c r="L231" s="3069">
        <f t="shared" ref="L231:L239" ca="1" si="33">INDIRECT("Notes!CheckB"&amp;$C231)</f>
        <v>1303107.67</v>
      </c>
      <c r="M231" s="3091">
        <f ca="1">IF(AND(LEN(K231)&gt;0,LEN(L231)&gt;0),ROUND(SUM(K231)-SUM(L231),2),"")</f>
        <v>0</v>
      </c>
      <c r="N231" s="3070" t="str">
        <f ca="1">IF(ISNA(M231),"N/A",IF(M231=0,"√","？"))</f>
        <v>√</v>
      </c>
      <c r="O231" s="3097"/>
      <c r="P231" s="3098"/>
      <c r="Q231" s="3098"/>
      <c r="R231" s="3098"/>
      <c r="S231" s="3099" t="s">
        <v>295</v>
      </c>
      <c r="T231" s="3099" t="s">
        <v>213</v>
      </c>
      <c r="U231" s="3100"/>
      <c r="V231" s="3100" t="s">
        <v>295</v>
      </c>
      <c r="W231" s="3100" t="s">
        <v>6797</v>
      </c>
      <c r="X231" s="3100" t="s">
        <v>6798</v>
      </c>
      <c r="Y231" s="3101" t="s">
        <v>164</v>
      </c>
    </row>
    <row r="232" spans="1:25" ht="18" hidden="1">
      <c r="A232" s="1304"/>
      <c r="B232" s="643">
        <v>2211</v>
      </c>
      <c r="C232" s="643" t="s">
        <v>1505</v>
      </c>
      <c r="D232" s="3085">
        <v>2</v>
      </c>
      <c r="E232" s="3086" t="str">
        <f t="shared" si="26"/>
        <v>应付职工薪酬</v>
      </c>
      <c r="F232" s="3087" t="s">
        <v>1506</v>
      </c>
      <c r="G232" s="3088">
        <f t="shared" si="27"/>
        <v>0</v>
      </c>
      <c r="H232" s="3089">
        <f t="shared" ca="1" si="32"/>
        <v>27093.38</v>
      </c>
      <c r="I232" s="3091" t="s">
        <v>6803</v>
      </c>
      <c r="J232" s="3070"/>
      <c r="K232" s="3088">
        <f t="shared" si="31"/>
        <v>1303107.67</v>
      </c>
      <c r="L232" s="3069">
        <f t="shared" ca="1" si="33"/>
        <v>1231417.1200000001</v>
      </c>
      <c r="M232" s="3091" t="s">
        <v>6803</v>
      </c>
      <c r="N232" s="3070"/>
      <c r="O232" s="3097"/>
      <c r="P232" s="3098"/>
      <c r="Q232" s="3098"/>
      <c r="R232" s="3098"/>
      <c r="S232" s="3099" t="s">
        <v>295</v>
      </c>
      <c r="T232" s="3099" t="s">
        <v>213</v>
      </c>
      <c r="U232" s="3100"/>
      <c r="V232" s="3100" t="s">
        <v>295</v>
      </c>
      <c r="W232" s="3100" t="s">
        <v>6797</v>
      </c>
      <c r="X232" s="3100" t="s">
        <v>6798</v>
      </c>
      <c r="Y232" s="3101" t="s">
        <v>164</v>
      </c>
    </row>
    <row r="233" spans="1:25" ht="18" hidden="1">
      <c r="A233" s="1304"/>
      <c r="B233" s="643">
        <v>2211</v>
      </c>
      <c r="C233" s="643" t="s">
        <v>1510</v>
      </c>
      <c r="D233" s="3085">
        <v>2</v>
      </c>
      <c r="E233" s="3086" t="str">
        <f t="shared" si="26"/>
        <v>应付职工薪酬</v>
      </c>
      <c r="F233" s="3087" t="s">
        <v>1511</v>
      </c>
      <c r="G233" s="3088">
        <f t="shared" si="27"/>
        <v>0</v>
      </c>
      <c r="H233" s="3089">
        <f t="shared" ca="1" si="32"/>
        <v>3888.36</v>
      </c>
      <c r="I233" s="3091" t="s">
        <v>6803</v>
      </c>
      <c r="J233" s="3070"/>
      <c r="K233" s="3088">
        <f t="shared" si="31"/>
        <v>1303107.67</v>
      </c>
      <c r="L233" s="3069">
        <f t="shared" ca="1" si="33"/>
        <v>71690.55</v>
      </c>
      <c r="M233" s="3091" t="s">
        <v>6803</v>
      </c>
      <c r="N233" s="3070"/>
      <c r="O233" s="3097"/>
      <c r="P233" s="3098"/>
      <c r="Q233" s="3098"/>
      <c r="R233" s="3098"/>
      <c r="S233" s="3099" t="s">
        <v>295</v>
      </c>
      <c r="T233" s="3099" t="s">
        <v>213</v>
      </c>
      <c r="U233" s="3100"/>
      <c r="V233" s="3100" t="s">
        <v>295</v>
      </c>
      <c r="W233" s="3100" t="s">
        <v>6797</v>
      </c>
      <c r="X233" s="3100" t="s">
        <v>6798</v>
      </c>
      <c r="Y233" s="3101" t="s">
        <v>164</v>
      </c>
    </row>
    <row r="234" spans="1:25" ht="18" hidden="1">
      <c r="A234" s="1304"/>
      <c r="B234" s="643">
        <v>2211</v>
      </c>
      <c r="C234" s="643" t="s">
        <v>1515</v>
      </c>
      <c r="D234" s="3085">
        <v>2</v>
      </c>
      <c r="E234" s="3086" t="str">
        <f t="shared" si="26"/>
        <v>应付职工薪酬</v>
      </c>
      <c r="F234" s="3087" t="s">
        <v>1516</v>
      </c>
      <c r="G234" s="3088">
        <f t="shared" si="27"/>
        <v>0</v>
      </c>
      <c r="H234" s="3089">
        <f t="shared" ca="1" si="32"/>
        <v>0</v>
      </c>
      <c r="I234" s="3091" t="s">
        <v>6803</v>
      </c>
      <c r="J234" s="3070"/>
      <c r="K234" s="3088">
        <f t="shared" si="31"/>
        <v>1303107.67</v>
      </c>
      <c r="L234" s="3069">
        <f t="shared" ca="1" si="33"/>
        <v>0</v>
      </c>
      <c r="M234" s="3091" t="s">
        <v>6803</v>
      </c>
      <c r="N234" s="3070"/>
      <c r="O234" s="3097"/>
      <c r="P234" s="3098"/>
      <c r="Q234" s="3098"/>
      <c r="R234" s="3098"/>
      <c r="S234" s="3099" t="s">
        <v>295</v>
      </c>
      <c r="T234" s="3099" t="s">
        <v>213</v>
      </c>
      <c r="U234" s="3100"/>
      <c r="V234" s="3100" t="s">
        <v>295</v>
      </c>
      <c r="W234" s="3100" t="s">
        <v>6797</v>
      </c>
      <c r="X234" s="3100" t="s">
        <v>213</v>
      </c>
      <c r="Y234" s="3101" t="s">
        <v>164</v>
      </c>
    </row>
    <row r="235" spans="1:25" ht="18" hidden="1">
      <c r="A235" s="1304"/>
      <c r="B235" s="643">
        <v>2211</v>
      </c>
      <c r="C235" s="643" t="s">
        <v>1520</v>
      </c>
      <c r="D235" s="3085">
        <v>2</v>
      </c>
      <c r="E235" s="3086" t="str">
        <f t="shared" si="26"/>
        <v>应付职工薪酬</v>
      </c>
      <c r="F235" s="3087" t="s">
        <v>1521</v>
      </c>
      <c r="G235" s="3088">
        <f t="shared" si="27"/>
        <v>0</v>
      </c>
      <c r="H235" s="3089">
        <f t="shared" ca="1" si="32"/>
        <v>0</v>
      </c>
      <c r="I235" s="3091" t="s">
        <v>6803</v>
      </c>
      <c r="J235" s="3070"/>
      <c r="K235" s="3088">
        <f t="shared" si="31"/>
        <v>1303107.67</v>
      </c>
      <c r="L235" s="3069">
        <f t="shared" ca="1" si="33"/>
        <v>0</v>
      </c>
      <c r="M235" s="3091" t="s">
        <v>6803</v>
      </c>
      <c r="N235" s="3070"/>
      <c r="O235" s="3097"/>
      <c r="P235" s="3098"/>
      <c r="Q235" s="3098"/>
      <c r="R235" s="3098"/>
      <c r="S235" s="3099" t="s">
        <v>295</v>
      </c>
      <c r="T235" s="3099" t="s">
        <v>213</v>
      </c>
      <c r="U235" s="3100"/>
      <c r="V235" s="3100" t="s">
        <v>295</v>
      </c>
      <c r="W235" s="3100" t="s">
        <v>6797</v>
      </c>
      <c r="X235" s="3100" t="s">
        <v>213</v>
      </c>
      <c r="Y235" s="3101" t="s">
        <v>164</v>
      </c>
    </row>
    <row r="236" spans="1:25" ht="18">
      <c r="A236" s="1304"/>
      <c r="B236" s="643">
        <v>2221</v>
      </c>
      <c r="C236" s="643" t="s">
        <v>1528</v>
      </c>
      <c r="D236" s="3085">
        <v>1</v>
      </c>
      <c r="E236" s="3086" t="str">
        <f t="shared" si="26"/>
        <v>应交税费</v>
      </c>
      <c r="F236" s="3087" t="s">
        <v>1529</v>
      </c>
      <c r="G236" s="3088">
        <f t="shared" si="27"/>
        <v>0</v>
      </c>
      <c r="H236" s="3089">
        <f t="shared" ca="1" si="32"/>
        <v>0</v>
      </c>
      <c r="I236" s="3091">
        <f ca="1">IF(AND(LEN(G236)&gt;0,LEN(H236)&gt;0),ROUND(SUM(G236)-SUM(H236),2),"")</f>
        <v>0</v>
      </c>
      <c r="J236" s="3070" t="str">
        <f ca="1">IF(ISNA(I236),"N/A",IF(I236=0,"√","？"))</f>
        <v>√</v>
      </c>
      <c r="K236" s="3088">
        <f t="shared" si="31"/>
        <v>236130.57</v>
      </c>
      <c r="L236" s="3069">
        <f t="shared" ca="1" si="33"/>
        <v>0</v>
      </c>
      <c r="M236" s="3091">
        <f ca="1">IF(AND(LEN(K236)&gt;0,LEN(L236)&gt;0),ROUND(SUM(K236)-SUM(L236),2),"")</f>
        <v>236130.57</v>
      </c>
      <c r="N236" s="3070" t="str">
        <f ca="1">IF(ISNA(M236),"N/A",IF(M236=0,"√","？"))</f>
        <v>？</v>
      </c>
      <c r="O236" s="3097"/>
      <c r="P236" s="3098"/>
      <c r="Q236" s="3098"/>
      <c r="R236" s="3098"/>
      <c r="S236" s="3099" t="s">
        <v>295</v>
      </c>
      <c r="T236" s="3099" t="s">
        <v>213</v>
      </c>
      <c r="U236" s="3100"/>
      <c r="V236" s="3100" t="s">
        <v>295</v>
      </c>
      <c r="W236" s="3100" t="s">
        <v>6797</v>
      </c>
      <c r="X236" s="3100" t="s">
        <v>6798</v>
      </c>
      <c r="Y236" s="3101" t="s">
        <v>164</v>
      </c>
    </row>
    <row r="237" spans="1:25" ht="18" hidden="1">
      <c r="A237" s="1304"/>
      <c r="B237" s="643">
        <v>2221</v>
      </c>
      <c r="C237" s="643" t="s">
        <v>1533</v>
      </c>
      <c r="D237" s="3085">
        <v>2</v>
      </c>
      <c r="E237" s="3086" t="str">
        <f t="shared" si="26"/>
        <v>应交税费</v>
      </c>
      <c r="F237" s="3087" t="s">
        <v>1534</v>
      </c>
      <c r="G237" s="3088">
        <f t="shared" si="27"/>
        <v>0</v>
      </c>
      <c r="H237" s="3089">
        <f t="shared" ca="1" si="32"/>
        <v>0</v>
      </c>
      <c r="I237" s="3091" t="s">
        <v>6803</v>
      </c>
      <c r="J237" s="3070"/>
      <c r="K237" s="3088">
        <f t="shared" si="31"/>
        <v>236130.57</v>
      </c>
      <c r="L237" s="3069">
        <f t="shared" ca="1" si="33"/>
        <v>0</v>
      </c>
      <c r="M237" s="3091" t="s">
        <v>6803</v>
      </c>
      <c r="N237" s="3070"/>
      <c r="O237" s="3097"/>
      <c r="P237" s="3098"/>
      <c r="Q237" s="3098"/>
      <c r="R237" s="3098"/>
      <c r="S237" s="3099" t="s">
        <v>295</v>
      </c>
      <c r="T237" s="3099" t="s">
        <v>213</v>
      </c>
      <c r="U237" s="3100"/>
      <c r="V237" s="3100" t="s">
        <v>295</v>
      </c>
      <c r="W237" s="3100" t="s">
        <v>6797</v>
      </c>
      <c r="X237" s="3100" t="s">
        <v>213</v>
      </c>
      <c r="Y237" s="3101" t="s">
        <v>164</v>
      </c>
    </row>
    <row r="238" spans="1:25" ht="24">
      <c r="A238" s="1304"/>
      <c r="B238" s="643">
        <v>2246</v>
      </c>
      <c r="C238" s="643" t="s">
        <v>1594</v>
      </c>
      <c r="D238" s="3085">
        <v>1</v>
      </c>
      <c r="E238" s="3086" t="str">
        <f t="shared" si="26"/>
        <v>其他应付款（报表项目）</v>
      </c>
      <c r="F238" s="3087" t="s">
        <v>1595</v>
      </c>
      <c r="G238" s="3088">
        <f t="shared" si="27"/>
        <v>0</v>
      </c>
      <c r="H238" s="3089">
        <f t="shared" ca="1" si="32"/>
        <v>0</v>
      </c>
      <c r="I238" s="3091">
        <f ca="1">IF(AND(LEN(G238)&gt;0,LEN(H238)&gt;0),ROUND(SUM(G238)-SUM(H238),2),"")</f>
        <v>0</v>
      </c>
      <c r="J238" s="3070" t="str">
        <f ca="1">IF(ISNA(I238),"N/A",IF(I238=0,"√","？"))</f>
        <v>√</v>
      </c>
      <c r="K238" s="3088">
        <f t="shared" si="31"/>
        <v>7949525.4100000001</v>
      </c>
      <c r="L238" s="3069">
        <f t="shared" ca="1" si="33"/>
        <v>0</v>
      </c>
      <c r="M238" s="3091">
        <f ca="1">IF(AND(LEN(K238)&gt;0,LEN(L238)&gt;0),ROUND(SUM(K238)-SUM(L238),2),"")</f>
        <v>7949525.4100000001</v>
      </c>
      <c r="N238" s="3070" t="str">
        <f ca="1">IF(ISNA(M238),"N/A",IF(M238=0,"√","？"))</f>
        <v>？</v>
      </c>
      <c r="O238" s="3097"/>
      <c r="P238" s="3098"/>
      <c r="Q238" s="3098"/>
      <c r="R238" s="3098"/>
      <c r="S238" s="3099" t="s">
        <v>295</v>
      </c>
      <c r="T238" s="3099" t="s">
        <v>213</v>
      </c>
      <c r="U238" s="3100"/>
      <c r="V238" s="3100" t="s">
        <v>295</v>
      </c>
      <c r="W238" s="3100" t="s">
        <v>6797</v>
      </c>
      <c r="X238" s="3100" t="s">
        <v>6798</v>
      </c>
      <c r="Y238" s="3101" t="s">
        <v>164</v>
      </c>
    </row>
    <row r="239" spans="1:25" ht="18">
      <c r="A239" s="1304"/>
      <c r="B239" s="643">
        <v>2231</v>
      </c>
      <c r="C239" s="643" t="s">
        <v>1538</v>
      </c>
      <c r="D239" s="3085">
        <v>1</v>
      </c>
      <c r="E239" s="3086" t="str">
        <f t="shared" si="26"/>
        <v>应付利息</v>
      </c>
      <c r="F239" s="3087" t="s">
        <v>1539</v>
      </c>
      <c r="G239" s="3088">
        <f t="shared" si="27"/>
        <v>0</v>
      </c>
      <c r="H239" s="3089">
        <f t="shared" ca="1" si="32"/>
        <v>0</v>
      </c>
      <c r="I239" s="3091">
        <f ca="1">IF(AND(LEN(G239)&gt;0,LEN(H239)&gt;0),ROUND(SUM(G239)-SUM(H239),2),"")</f>
        <v>0</v>
      </c>
      <c r="J239" s="3070" t="str">
        <f ca="1">IF(ISNA(I239),"N/A",IF(I239=0,"√","？"))</f>
        <v>√</v>
      </c>
      <c r="K239" s="3088">
        <f t="shared" si="31"/>
        <v>0</v>
      </c>
      <c r="L239" s="3069">
        <f t="shared" ca="1" si="33"/>
        <v>0</v>
      </c>
      <c r="M239" s="3091">
        <f ca="1">IF(AND(LEN(K239)&gt;0,LEN(L239)&gt;0),ROUND(SUM(K239)-SUM(L239),2),"")</f>
        <v>0</v>
      </c>
      <c r="N239" s="3070" t="str">
        <f ca="1">IF(ISNA(M239),"N/A",IF(M239=0,"√","？"))</f>
        <v>√</v>
      </c>
      <c r="O239" s="3097"/>
      <c r="P239" s="3098"/>
      <c r="Q239" s="3098"/>
      <c r="R239" s="3098"/>
      <c r="S239" s="3099" t="s">
        <v>295</v>
      </c>
      <c r="T239" s="3099" t="s">
        <v>213</v>
      </c>
      <c r="U239" s="3100"/>
      <c r="V239" s="3100" t="s">
        <v>295</v>
      </c>
      <c r="W239" s="3100" t="s">
        <v>6797</v>
      </c>
      <c r="X239" s="3100" t="s">
        <v>6798</v>
      </c>
      <c r="Y239" s="3101" t="s">
        <v>164</v>
      </c>
    </row>
    <row r="240" spans="1:25" ht="24" hidden="1">
      <c r="A240" s="1304"/>
      <c r="B240" s="643">
        <v>2231</v>
      </c>
      <c r="C240" s="643" t="s">
        <v>1543</v>
      </c>
      <c r="D240" s="3085">
        <v>2</v>
      </c>
      <c r="E240" s="3086" t="str">
        <f t="shared" si="26"/>
        <v>应付利息</v>
      </c>
      <c r="F240" s="3087" t="s">
        <v>1544</v>
      </c>
      <c r="G240" s="3088">
        <f t="shared" si="27"/>
        <v>0</v>
      </c>
      <c r="H240" s="3089" t="s">
        <v>6799</v>
      </c>
      <c r="I240" s="3091" t="s">
        <v>6803</v>
      </c>
      <c r="J240" s="3070"/>
      <c r="K240" s="3088">
        <f t="shared" si="31"/>
        <v>0</v>
      </c>
      <c r="L240" s="3069" t="s">
        <v>6799</v>
      </c>
      <c r="M240" s="3091" t="s">
        <v>6803</v>
      </c>
      <c r="N240" s="3070"/>
      <c r="O240" s="3097"/>
      <c r="P240" s="3098"/>
      <c r="Q240" s="3098"/>
      <c r="R240" s="3098"/>
      <c r="S240" s="3099" t="s">
        <v>295</v>
      </c>
      <c r="T240" s="3099" t="s">
        <v>213</v>
      </c>
      <c r="U240" s="3100"/>
      <c r="V240" s="3100" t="s">
        <v>295</v>
      </c>
      <c r="W240" s="3100" t="s">
        <v>6797</v>
      </c>
      <c r="X240" s="3100" t="s">
        <v>6798</v>
      </c>
      <c r="Y240" s="3101" t="s">
        <v>164</v>
      </c>
    </row>
    <row r="241" spans="1:25" ht="18">
      <c r="A241" s="1304"/>
      <c r="B241" s="643">
        <v>2232</v>
      </c>
      <c r="C241" s="643" t="s">
        <v>1549</v>
      </c>
      <c r="D241" s="3085">
        <v>1</v>
      </c>
      <c r="E241" s="3086" t="str">
        <f t="shared" si="26"/>
        <v>应付股利</v>
      </c>
      <c r="F241" s="3087" t="s">
        <v>1550</v>
      </c>
      <c r="G241" s="3088">
        <f t="shared" si="27"/>
        <v>0</v>
      </c>
      <c r="H241" s="3089">
        <f t="shared" ref="H241:H247" ca="1" si="34">INDIRECT("Notes!CheckA"&amp;$C241)</f>
        <v>0</v>
      </c>
      <c r="I241" s="3091">
        <f ca="1">IF(AND(LEN(G241)&gt;0,LEN(H241)&gt;0),ROUND(SUM(G241)-SUM(H241),2),"")</f>
        <v>0</v>
      </c>
      <c r="J241" s="3070" t="str">
        <f ca="1">IF(ISNA(I241),"N/A",IF(I241=0,"√","？"))</f>
        <v>√</v>
      </c>
      <c r="K241" s="3088">
        <f t="shared" si="31"/>
        <v>0</v>
      </c>
      <c r="L241" s="3069">
        <f ca="1">INDIRECT("Notes!CheckB"&amp;$C241)</f>
        <v>0</v>
      </c>
      <c r="M241" s="3091">
        <f ca="1">IF(AND(LEN(K241)&gt;0,LEN(L241)&gt;0),ROUND(SUM(K241)-SUM(L241),2),"")</f>
        <v>0</v>
      </c>
      <c r="N241" s="3070" t="str">
        <f ca="1">IF(ISNA(M241),"N/A",IF(M241=0,"√","？"))</f>
        <v>√</v>
      </c>
      <c r="O241" s="3097"/>
      <c r="P241" s="3098"/>
      <c r="Q241" s="3098"/>
      <c r="R241" s="3098"/>
      <c r="S241" s="3099" t="s">
        <v>295</v>
      </c>
      <c r="T241" s="3099" t="s">
        <v>213</v>
      </c>
      <c r="U241" s="3100"/>
      <c r="V241" s="3100" t="s">
        <v>295</v>
      </c>
      <c r="W241" s="3100" t="s">
        <v>6797</v>
      </c>
      <c r="X241" s="3100" t="s">
        <v>6798</v>
      </c>
      <c r="Y241" s="3101" t="s">
        <v>164</v>
      </c>
    </row>
    <row r="242" spans="1:25" ht="24" hidden="1">
      <c r="A242" s="1304"/>
      <c r="B242" s="643">
        <v>2232</v>
      </c>
      <c r="C242" s="643" t="s">
        <v>1554</v>
      </c>
      <c r="D242" s="3085">
        <v>2</v>
      </c>
      <c r="E242" s="3086" t="str">
        <f t="shared" si="26"/>
        <v>应付股利</v>
      </c>
      <c r="F242" s="3087" t="s">
        <v>1555</v>
      </c>
      <c r="G242" s="3088">
        <f t="shared" si="27"/>
        <v>0</v>
      </c>
      <c r="H242" s="3089">
        <f t="shared" ca="1" si="34"/>
        <v>0</v>
      </c>
      <c r="I242" s="3091" t="s">
        <v>6803</v>
      </c>
      <c r="J242" s="3070"/>
      <c r="K242" s="3088">
        <f t="shared" si="31"/>
        <v>0</v>
      </c>
      <c r="L242" s="3069" t="s">
        <v>6799</v>
      </c>
      <c r="M242" s="3091" t="s">
        <v>6803</v>
      </c>
      <c r="N242" s="3070"/>
      <c r="O242" s="3097"/>
      <c r="P242" s="3098"/>
      <c r="Q242" s="3098"/>
      <c r="R242" s="3098"/>
      <c r="S242" s="3099" t="s">
        <v>295</v>
      </c>
      <c r="T242" s="3099" t="s">
        <v>213</v>
      </c>
      <c r="U242" s="3100"/>
      <c r="V242" s="3100" t="s">
        <v>295</v>
      </c>
      <c r="W242" s="3100" t="s">
        <v>6797</v>
      </c>
      <c r="X242" s="3100" t="s">
        <v>6798</v>
      </c>
      <c r="Y242" s="3101" t="s">
        <v>164</v>
      </c>
    </row>
    <row r="243" spans="1:25" ht="24">
      <c r="A243" s="1304"/>
      <c r="B243" s="643">
        <v>2241</v>
      </c>
      <c r="C243" s="643" t="s">
        <v>1559</v>
      </c>
      <c r="D243" s="3085">
        <v>1</v>
      </c>
      <c r="E243" s="3086" t="str">
        <f t="shared" si="26"/>
        <v>其他应付款</v>
      </c>
      <c r="F243" s="3087" t="s">
        <v>1560</v>
      </c>
      <c r="G243" s="3088">
        <f t="shared" si="27"/>
        <v>0</v>
      </c>
      <c r="H243" s="3089">
        <f t="shared" ca="1" si="34"/>
        <v>0</v>
      </c>
      <c r="I243" s="3091">
        <f ca="1">IF(AND(LEN(G243)&gt;0,LEN(H243)&gt;0),ROUND(SUM(G243)-SUM(H243),2),"")</f>
        <v>0</v>
      </c>
      <c r="J243" s="3070" t="str">
        <f ca="1">IF(ISNA(I243),"N/A",IF(I243=0,"√","？"))</f>
        <v>√</v>
      </c>
      <c r="K243" s="3088">
        <f t="shared" si="31"/>
        <v>7949525.4100000001</v>
      </c>
      <c r="L243" s="3069">
        <f ca="1">INDIRECT("Notes!CheckB"&amp;$C243)</f>
        <v>0</v>
      </c>
      <c r="M243" s="3091">
        <f ca="1">IF(AND(LEN(K243)&gt;0,LEN(L243)&gt;0),ROUND(SUM(K243)-SUM(L243),2),"")</f>
        <v>7949525.4100000001</v>
      </c>
      <c r="N243" s="3070" t="str">
        <f ca="1">IF(ISNA(M243),"N/A",IF(M243=0,"√","？"))</f>
        <v>？</v>
      </c>
      <c r="O243" s="3097"/>
      <c r="P243" s="3098"/>
      <c r="Q243" s="3098"/>
      <c r="R243" s="3098"/>
      <c r="S243" s="3099" t="s">
        <v>295</v>
      </c>
      <c r="T243" s="3099" t="s">
        <v>213</v>
      </c>
      <c r="U243" s="3100"/>
      <c r="V243" s="3100" t="s">
        <v>295</v>
      </c>
      <c r="W243" s="3100" t="s">
        <v>6797</v>
      </c>
      <c r="X243" s="3100" t="s">
        <v>6798</v>
      </c>
      <c r="Y243" s="3101" t="s">
        <v>164</v>
      </c>
    </row>
    <row r="244" spans="1:25" ht="18">
      <c r="A244" s="1304"/>
      <c r="B244" s="643">
        <v>2241</v>
      </c>
      <c r="C244" s="643" t="s">
        <v>1569</v>
      </c>
      <c r="D244" s="3085">
        <v>1</v>
      </c>
      <c r="E244" s="3086" t="str">
        <f t="shared" si="26"/>
        <v>其他应付款</v>
      </c>
      <c r="F244" s="3087" t="s">
        <v>1570</v>
      </c>
      <c r="G244" s="3088">
        <f t="shared" si="27"/>
        <v>0</v>
      </c>
      <c r="H244" s="3089">
        <f t="shared" ca="1" si="34"/>
        <v>0</v>
      </c>
      <c r="I244" s="3091">
        <f ca="1">IF(AND(LEN(G244)&gt;0,LEN(H244)&gt;0),ROUND(SUM(G244)-SUM(H244),2),"")</f>
        <v>0</v>
      </c>
      <c r="J244" s="3070" t="str">
        <f ca="1">IF(ISNA(I244),"N/A",IF(I244=0,"√","？"))</f>
        <v>√</v>
      </c>
      <c r="K244" s="3088">
        <f t="shared" si="31"/>
        <v>7949525.4100000001</v>
      </c>
      <c r="L244" s="3069">
        <f ca="1">INDIRECT("Notes!CheckB"&amp;$C244)</f>
        <v>0</v>
      </c>
      <c r="M244" s="3091">
        <f ca="1">IF(AND(LEN(K244)&gt;0,LEN(L244)&gt;0),ROUND(SUM(K244)-SUM(L244),2),"")</f>
        <v>7949525.4100000001</v>
      </c>
      <c r="N244" s="3070" t="str">
        <f ca="1">IF(ISNA(M244),"N/A",IF(M244=0,"√","？"))</f>
        <v>？</v>
      </c>
      <c r="O244" s="3097"/>
      <c r="P244" s="3098"/>
      <c r="Q244" s="3098"/>
      <c r="R244" s="3098"/>
      <c r="S244" s="3099" t="s">
        <v>295</v>
      </c>
      <c r="T244" s="3099" t="s">
        <v>213</v>
      </c>
      <c r="U244" s="3100"/>
      <c r="V244" s="3100" t="s">
        <v>295</v>
      </c>
      <c r="W244" s="3100" t="s">
        <v>6797</v>
      </c>
      <c r="X244" s="3100" t="s">
        <v>213</v>
      </c>
      <c r="Y244" s="3101" t="s">
        <v>164</v>
      </c>
    </row>
    <row r="245" spans="1:25" ht="24" hidden="1">
      <c r="A245" s="1304"/>
      <c r="B245" s="643">
        <v>2241</v>
      </c>
      <c r="C245" s="643" t="s">
        <v>1564</v>
      </c>
      <c r="D245" s="3085">
        <v>2</v>
      </c>
      <c r="E245" s="3086" t="str">
        <f t="shared" si="26"/>
        <v>其他应付款</v>
      </c>
      <c r="F245" s="3087" t="s">
        <v>1565</v>
      </c>
      <c r="G245" s="3088">
        <f t="shared" si="27"/>
        <v>0</v>
      </c>
      <c r="H245" s="3089">
        <f t="shared" ca="1" si="34"/>
        <v>0</v>
      </c>
      <c r="I245" s="3091" t="s">
        <v>6803</v>
      </c>
      <c r="J245" s="3070"/>
      <c r="K245" s="3088">
        <f t="shared" si="31"/>
        <v>7949525.4100000001</v>
      </c>
      <c r="L245" s="3069" t="s">
        <v>6799</v>
      </c>
      <c r="M245" s="3091" t="s">
        <v>6803</v>
      </c>
      <c r="N245" s="3070"/>
      <c r="O245" s="3097"/>
      <c r="P245" s="3098"/>
      <c r="Q245" s="3098"/>
      <c r="R245" s="3098"/>
      <c r="S245" s="3099" t="s">
        <v>295</v>
      </c>
      <c r="T245" s="3099" t="s">
        <v>213</v>
      </c>
      <c r="U245" s="3100"/>
      <c r="V245" s="3100" t="s">
        <v>295</v>
      </c>
      <c r="W245" s="3100" t="s">
        <v>6797</v>
      </c>
      <c r="X245" s="3100" t="s">
        <v>6798</v>
      </c>
      <c r="Y245" s="3101" t="s">
        <v>164</v>
      </c>
    </row>
    <row r="246" spans="1:25" ht="24" hidden="1">
      <c r="A246" s="1304"/>
      <c r="B246" s="643">
        <v>2241</v>
      </c>
      <c r="C246" s="643" t="s">
        <v>1579</v>
      </c>
      <c r="D246" s="3085">
        <v>2</v>
      </c>
      <c r="E246" s="3086" t="str">
        <f t="shared" si="26"/>
        <v>其他应付款</v>
      </c>
      <c r="F246" s="3087" t="s">
        <v>1580</v>
      </c>
      <c r="G246" s="3088">
        <f t="shared" si="27"/>
        <v>0</v>
      </c>
      <c r="H246" s="3089">
        <f t="shared" ca="1" si="34"/>
        <v>0</v>
      </c>
      <c r="I246" s="3091" t="s">
        <v>6803</v>
      </c>
      <c r="J246" s="3070"/>
      <c r="K246" s="3088">
        <f t="shared" si="31"/>
        <v>7949525.4100000001</v>
      </c>
      <c r="L246" s="3069" t="s">
        <v>6799</v>
      </c>
      <c r="M246" s="3091" t="s">
        <v>6803</v>
      </c>
      <c r="N246" s="3070"/>
      <c r="O246" s="3097"/>
      <c r="P246" s="3098"/>
      <c r="Q246" s="3098"/>
      <c r="R246" s="3098"/>
      <c r="S246" s="3099" t="s">
        <v>295</v>
      </c>
      <c r="T246" s="3099" t="s">
        <v>213</v>
      </c>
      <c r="U246" s="3100"/>
      <c r="V246" s="3100" t="s">
        <v>295</v>
      </c>
      <c r="W246" s="3100" t="s">
        <v>6797</v>
      </c>
      <c r="X246" s="3100" t="s">
        <v>213</v>
      </c>
      <c r="Y246" s="3101" t="s">
        <v>164</v>
      </c>
    </row>
    <row r="247" spans="1:25" ht="18" hidden="1">
      <c r="A247" s="1304"/>
      <c r="B247" s="643">
        <v>2241</v>
      </c>
      <c r="C247" s="643" t="s">
        <v>1584</v>
      </c>
      <c r="D247" s="3085">
        <v>2</v>
      </c>
      <c r="E247" s="3086" t="str">
        <f t="shared" si="26"/>
        <v>其他应付款</v>
      </c>
      <c r="F247" s="3087" t="s">
        <v>1585</v>
      </c>
      <c r="G247" s="3088">
        <f t="shared" si="27"/>
        <v>0</v>
      </c>
      <c r="H247" s="3089">
        <f t="shared" ca="1" si="34"/>
        <v>0</v>
      </c>
      <c r="I247" s="3091" t="s">
        <v>6803</v>
      </c>
      <c r="J247" s="3070"/>
      <c r="K247" s="3088">
        <f t="shared" si="31"/>
        <v>7949525.4100000001</v>
      </c>
      <c r="L247" s="3069" t="s">
        <v>6799</v>
      </c>
      <c r="M247" s="3091" t="s">
        <v>6803</v>
      </c>
      <c r="N247" s="3070"/>
      <c r="O247" s="3097"/>
      <c r="P247" s="3098"/>
      <c r="Q247" s="3098"/>
      <c r="R247" s="3098"/>
      <c r="S247" s="3099" t="s">
        <v>295</v>
      </c>
      <c r="T247" s="3099" t="s">
        <v>213</v>
      </c>
      <c r="U247" s="3100"/>
      <c r="V247" s="3100" t="s">
        <v>295</v>
      </c>
      <c r="W247" s="3100" t="s">
        <v>6797</v>
      </c>
      <c r="X247" s="3100" t="s">
        <v>213</v>
      </c>
      <c r="Y247" s="3101" t="s">
        <v>164</v>
      </c>
    </row>
    <row r="248" spans="1:25" ht="24" hidden="1">
      <c r="A248" s="1304"/>
      <c r="B248" s="643">
        <v>2241</v>
      </c>
      <c r="C248" s="643" t="s">
        <v>1574</v>
      </c>
      <c r="D248" s="3085">
        <v>2</v>
      </c>
      <c r="E248" s="3086" t="str">
        <f t="shared" si="26"/>
        <v>其他应付款</v>
      </c>
      <c r="F248" s="3087" t="s">
        <v>1575</v>
      </c>
      <c r="G248" s="3088">
        <f t="shared" si="27"/>
        <v>0</v>
      </c>
      <c r="H248" s="3089" t="s">
        <v>6799</v>
      </c>
      <c r="I248" s="3091" t="s">
        <v>6803</v>
      </c>
      <c r="J248" s="3070"/>
      <c r="K248" s="3088">
        <f t="shared" si="31"/>
        <v>7949525.4100000001</v>
      </c>
      <c r="L248" s="3069" t="s">
        <v>6799</v>
      </c>
      <c r="M248" s="3091" t="s">
        <v>6803</v>
      </c>
      <c r="N248" s="3070"/>
      <c r="O248" s="3097"/>
      <c r="P248" s="3098"/>
      <c r="Q248" s="3098"/>
      <c r="R248" s="3098"/>
      <c r="S248" s="3099" t="s">
        <v>295</v>
      </c>
      <c r="T248" s="3099" t="s">
        <v>213</v>
      </c>
      <c r="U248" s="3100"/>
      <c r="V248" s="3100" t="s">
        <v>295</v>
      </c>
      <c r="W248" s="3100" t="s">
        <v>6797</v>
      </c>
      <c r="X248" s="3100" t="s">
        <v>213</v>
      </c>
      <c r="Y248" s="3101" t="s">
        <v>164</v>
      </c>
    </row>
    <row r="249" spans="1:25" ht="18" hidden="1">
      <c r="A249" s="1304"/>
      <c r="B249" s="643">
        <v>2241</v>
      </c>
      <c r="C249" s="643" t="s">
        <v>1589</v>
      </c>
      <c r="D249" s="3085">
        <v>2</v>
      </c>
      <c r="E249" s="3086" t="str">
        <f t="shared" si="26"/>
        <v>其他应付款</v>
      </c>
      <c r="F249" s="3087" t="s">
        <v>1590</v>
      </c>
      <c r="G249" s="3088">
        <f t="shared" si="27"/>
        <v>0</v>
      </c>
      <c r="H249" s="3089">
        <f t="shared" ref="H249:H272" ca="1" si="35">INDIRECT("Notes!CheckA"&amp;$C249)</f>
        <v>0</v>
      </c>
      <c r="I249" s="3091" t="s">
        <v>6803</v>
      </c>
      <c r="J249" s="3070"/>
      <c r="K249" s="3088">
        <f t="shared" si="31"/>
        <v>7949525.4100000001</v>
      </c>
      <c r="L249" s="3069" t="s">
        <v>6799</v>
      </c>
      <c r="M249" s="3091" t="s">
        <v>6803</v>
      </c>
      <c r="N249" s="3070"/>
      <c r="O249" s="3097"/>
      <c r="P249" s="3098"/>
      <c r="Q249" s="3098"/>
      <c r="R249" s="3098"/>
      <c r="S249" s="3099" t="s">
        <v>295</v>
      </c>
      <c r="T249" s="3099" t="s">
        <v>213</v>
      </c>
      <c r="U249" s="3100"/>
      <c r="V249" s="3100" t="s">
        <v>295</v>
      </c>
      <c r="W249" s="3100" t="s">
        <v>6797</v>
      </c>
      <c r="X249" s="3100" t="s">
        <v>213</v>
      </c>
      <c r="Y249" s="3101" t="s">
        <v>164</v>
      </c>
    </row>
    <row r="250" spans="1:25" ht="18">
      <c r="A250" s="1304"/>
      <c r="B250" s="643">
        <v>2315</v>
      </c>
      <c r="C250" s="643" t="s">
        <v>1599</v>
      </c>
      <c r="D250" s="3085">
        <v>1</v>
      </c>
      <c r="E250" s="3086" t="str">
        <f t="shared" si="26"/>
        <v>持有待售负债</v>
      </c>
      <c r="F250" s="3087" t="s">
        <v>6450</v>
      </c>
      <c r="G250" s="3088">
        <f t="shared" si="27"/>
        <v>0</v>
      </c>
      <c r="H250" s="3089">
        <f t="shared" ca="1" si="35"/>
        <v>0</v>
      </c>
      <c r="I250" s="3091">
        <f ca="1">IF(AND(LEN(G250)&gt;0,LEN(H250)&gt;0),ROUND(SUM(G250)-SUM(H250),2),"")</f>
        <v>0</v>
      </c>
      <c r="J250" s="3070" t="str">
        <f ca="1">IF(ISNA(I250),"N/A",IF(I250=0,"√","？"))</f>
        <v>√</v>
      </c>
      <c r="K250" s="3088">
        <f t="shared" si="31"/>
        <v>0</v>
      </c>
      <c r="L250" s="3069">
        <f t="shared" ref="L250:L257" ca="1" si="36">INDIRECT("Notes!CheckB"&amp;$C250)</f>
        <v>0</v>
      </c>
      <c r="M250" s="3091">
        <f ca="1">IF(AND(LEN(K250)&gt;0,LEN(L250)&gt;0),ROUND(SUM(K250)-SUM(L250),2),"")</f>
        <v>0</v>
      </c>
      <c r="N250" s="3070" t="str">
        <f ca="1">IF(ISNA(M250),"N/A",IF(M250=0,"√","？"))</f>
        <v>√</v>
      </c>
      <c r="O250" s="3097"/>
      <c r="P250" s="3098"/>
      <c r="Q250" s="3098"/>
      <c r="R250" s="3098"/>
      <c r="S250" s="3099" t="s">
        <v>295</v>
      </c>
      <c r="T250" s="3099" t="s">
        <v>213</v>
      </c>
      <c r="U250" s="3100"/>
      <c r="V250" s="3100" t="s">
        <v>295</v>
      </c>
      <c r="W250" s="3100" t="s">
        <v>6797</v>
      </c>
      <c r="X250" s="3100" t="s">
        <v>6798</v>
      </c>
      <c r="Y250" s="3101" t="s">
        <v>164</v>
      </c>
    </row>
    <row r="251" spans="1:25" ht="24">
      <c r="A251" s="1304"/>
      <c r="B251" s="643">
        <v>2395</v>
      </c>
      <c r="C251" s="643" t="s">
        <v>1603</v>
      </c>
      <c r="D251" s="3085">
        <v>1</v>
      </c>
      <c r="E251" s="3086" t="str">
        <f t="shared" si="26"/>
        <v>一年内到期的非流动负债</v>
      </c>
      <c r="F251" s="3087" t="s">
        <v>1604</v>
      </c>
      <c r="G251" s="3088">
        <f t="shared" si="27"/>
        <v>0</v>
      </c>
      <c r="H251" s="3089">
        <f t="shared" ca="1" si="35"/>
        <v>0</v>
      </c>
      <c r="I251" s="3091">
        <f ca="1">IF(AND(LEN(G251)&gt;0,LEN(H251)&gt;0),ROUND(SUM(G251)-SUM(H251),2),"")</f>
        <v>0</v>
      </c>
      <c r="J251" s="3070" t="str">
        <f ca="1">IF(ISNA(I251),"N/A",IF(I251=0,"√","？"))</f>
        <v>√</v>
      </c>
      <c r="K251" s="3088">
        <f t="shared" si="31"/>
        <v>0</v>
      </c>
      <c r="L251" s="3069">
        <f t="shared" ca="1" si="36"/>
        <v>0</v>
      </c>
      <c r="M251" s="3091">
        <f ca="1">IF(AND(LEN(K251)&gt;0,LEN(L251)&gt;0),ROUND(SUM(K251)-SUM(L251),2),"")</f>
        <v>0</v>
      </c>
      <c r="N251" s="3070" t="str">
        <f ca="1">IF(ISNA(M251),"N/A",IF(M251=0,"√","？"))</f>
        <v>√</v>
      </c>
      <c r="O251" s="3097"/>
      <c r="P251" s="3098"/>
      <c r="Q251" s="3098"/>
      <c r="R251" s="3098"/>
      <c r="S251" s="3099" t="s">
        <v>295</v>
      </c>
      <c r="T251" s="3099" t="s">
        <v>213</v>
      </c>
      <c r="U251" s="3100"/>
      <c r="V251" s="3100" t="s">
        <v>295</v>
      </c>
      <c r="W251" s="3100" t="s">
        <v>6797</v>
      </c>
      <c r="X251" s="3100" t="s">
        <v>6798</v>
      </c>
      <c r="Y251" s="3101" t="s">
        <v>164</v>
      </c>
    </row>
    <row r="252" spans="1:25" ht="24" hidden="1">
      <c r="A252" s="1304"/>
      <c r="B252" s="643">
        <v>2395</v>
      </c>
      <c r="C252" s="643" t="s">
        <v>1608</v>
      </c>
      <c r="D252" s="3085">
        <v>2</v>
      </c>
      <c r="E252" s="3086" t="str">
        <f t="shared" si="26"/>
        <v>一年内到期的非流动负债</v>
      </c>
      <c r="F252" s="3087" t="s">
        <v>6451</v>
      </c>
      <c r="G252" s="3088">
        <f t="shared" si="27"/>
        <v>0</v>
      </c>
      <c r="H252" s="3089">
        <f t="shared" ca="1" si="35"/>
        <v>0</v>
      </c>
      <c r="I252" s="3091" t="s">
        <v>6803</v>
      </c>
      <c r="J252" s="3070"/>
      <c r="K252" s="3088">
        <f t="shared" si="31"/>
        <v>0</v>
      </c>
      <c r="L252" s="3069">
        <f t="shared" ca="1" si="36"/>
        <v>0</v>
      </c>
      <c r="M252" s="3091" t="s">
        <v>6803</v>
      </c>
      <c r="N252" s="3070"/>
      <c r="O252" s="3097"/>
      <c r="P252" s="3098"/>
      <c r="Q252" s="3098"/>
      <c r="R252" s="3098"/>
      <c r="S252" s="3099" t="s">
        <v>295</v>
      </c>
      <c r="T252" s="3099" t="s">
        <v>213</v>
      </c>
      <c r="U252" s="3100"/>
      <c r="V252" s="3100" t="s">
        <v>295</v>
      </c>
      <c r="W252" s="3100" t="s">
        <v>145</v>
      </c>
      <c r="X252" s="3100" t="s">
        <v>213</v>
      </c>
      <c r="Y252" s="3101" t="s">
        <v>164</v>
      </c>
    </row>
    <row r="253" spans="1:25" ht="24" hidden="1">
      <c r="A253" s="1304"/>
      <c r="B253" s="643">
        <v>2395</v>
      </c>
      <c r="C253" s="643" t="s">
        <v>1612</v>
      </c>
      <c r="D253" s="3085">
        <v>2</v>
      </c>
      <c r="E253" s="3086" t="str">
        <f t="shared" si="26"/>
        <v>一年内到期的非流动负债</v>
      </c>
      <c r="F253" s="3087" t="s">
        <v>6452</v>
      </c>
      <c r="G253" s="3088">
        <f t="shared" si="27"/>
        <v>0</v>
      </c>
      <c r="H253" s="3089">
        <f t="shared" ca="1" si="35"/>
        <v>0</v>
      </c>
      <c r="I253" s="3091" t="s">
        <v>6803</v>
      </c>
      <c r="J253" s="3070"/>
      <c r="K253" s="3088">
        <f t="shared" si="31"/>
        <v>0</v>
      </c>
      <c r="L253" s="3069">
        <f t="shared" ca="1" si="36"/>
        <v>0</v>
      </c>
      <c r="M253" s="3091" t="s">
        <v>6803</v>
      </c>
      <c r="N253" s="3070"/>
      <c r="O253" s="3097"/>
      <c r="P253" s="3098"/>
      <c r="Q253" s="3098"/>
      <c r="R253" s="3098"/>
      <c r="S253" s="3099" t="s">
        <v>295</v>
      </c>
      <c r="T253" s="3099" t="s">
        <v>213</v>
      </c>
      <c r="U253" s="3100"/>
      <c r="V253" s="3100" t="s">
        <v>295</v>
      </c>
      <c r="W253" s="3100" t="s">
        <v>145</v>
      </c>
      <c r="X253" s="3100" t="s">
        <v>213</v>
      </c>
      <c r="Y253" s="3101" t="s">
        <v>164</v>
      </c>
    </row>
    <row r="254" spans="1:25" ht="24" hidden="1">
      <c r="A254" s="1304"/>
      <c r="B254" s="643">
        <v>2395</v>
      </c>
      <c r="C254" s="643" t="s">
        <v>1617</v>
      </c>
      <c r="D254" s="3085">
        <v>2</v>
      </c>
      <c r="E254" s="3086" t="str">
        <f t="shared" si="26"/>
        <v>一年内到期的非流动负债</v>
      </c>
      <c r="F254" s="3087" t="s">
        <v>6453</v>
      </c>
      <c r="G254" s="3088">
        <f t="shared" si="27"/>
        <v>0</v>
      </c>
      <c r="H254" s="3089">
        <f t="shared" ca="1" si="35"/>
        <v>0</v>
      </c>
      <c r="I254" s="3091" t="s">
        <v>6803</v>
      </c>
      <c r="J254" s="3070"/>
      <c r="K254" s="3088">
        <f t="shared" si="31"/>
        <v>0</v>
      </c>
      <c r="L254" s="3069">
        <f t="shared" ca="1" si="36"/>
        <v>0</v>
      </c>
      <c r="M254" s="3091" t="s">
        <v>6803</v>
      </c>
      <c r="N254" s="3070"/>
      <c r="O254" s="3097"/>
      <c r="P254" s="3098"/>
      <c r="Q254" s="3098"/>
      <c r="R254" s="3098"/>
      <c r="S254" s="3099" t="s">
        <v>295</v>
      </c>
      <c r="T254" s="3099" t="s">
        <v>213</v>
      </c>
      <c r="U254" s="3100"/>
      <c r="V254" s="3100" t="s">
        <v>295</v>
      </c>
      <c r="W254" s="3100" t="s">
        <v>145</v>
      </c>
      <c r="X254" s="3100" t="s">
        <v>213</v>
      </c>
      <c r="Y254" s="3101" t="s">
        <v>164</v>
      </c>
    </row>
    <row r="255" spans="1:25" ht="18">
      <c r="A255" s="1304"/>
      <c r="B255" s="643">
        <v>2396</v>
      </c>
      <c r="C255" s="643" t="s">
        <v>1621</v>
      </c>
      <c r="D255" s="3085">
        <v>1</v>
      </c>
      <c r="E255" s="3086" t="str">
        <f t="shared" si="26"/>
        <v>其他流动负债</v>
      </c>
      <c r="F255" s="3087" t="s">
        <v>1622</v>
      </c>
      <c r="G255" s="3088">
        <f t="shared" si="27"/>
        <v>0</v>
      </c>
      <c r="H255" s="3089">
        <f t="shared" ca="1" si="35"/>
        <v>0</v>
      </c>
      <c r="I255" s="3091">
        <f ca="1">IF(AND(LEN(G255)&gt;0,LEN(H255)&gt;0),ROUND(SUM(G255)-SUM(H255),2),"")</f>
        <v>0</v>
      </c>
      <c r="J255" s="3070" t="str">
        <f ca="1">IF(ISNA(I255),"N/A",IF(I255=0,"√","？"))</f>
        <v>√</v>
      </c>
      <c r="K255" s="3088">
        <f t="shared" si="31"/>
        <v>0</v>
      </c>
      <c r="L255" s="3069">
        <f t="shared" ca="1" si="36"/>
        <v>0</v>
      </c>
      <c r="M255" s="3091">
        <f ca="1">IF(AND(LEN(K255)&gt;0,LEN(L255)&gt;0),ROUND(SUM(K255)-SUM(L255),2),"")</f>
        <v>0</v>
      </c>
      <c r="N255" s="3070" t="str">
        <f ca="1">IF(ISNA(M255),"N/A",IF(M255=0,"√","？"))</f>
        <v>√</v>
      </c>
      <c r="O255" s="3097"/>
      <c r="P255" s="3098"/>
      <c r="Q255" s="3098"/>
      <c r="R255" s="3098"/>
      <c r="S255" s="3099" t="s">
        <v>295</v>
      </c>
      <c r="T255" s="3099" t="s">
        <v>213</v>
      </c>
      <c r="U255" s="3100"/>
      <c r="V255" s="3100" t="s">
        <v>295</v>
      </c>
      <c r="W255" s="3100" t="s">
        <v>6797</v>
      </c>
      <c r="X255" s="3100" t="s">
        <v>6798</v>
      </c>
      <c r="Y255" s="3101" t="s">
        <v>164</v>
      </c>
    </row>
    <row r="256" spans="1:25" ht="24" hidden="1">
      <c r="A256" s="1304"/>
      <c r="B256" s="643">
        <v>2396</v>
      </c>
      <c r="C256" s="643" t="s">
        <v>1626</v>
      </c>
      <c r="D256" s="3085">
        <v>2</v>
      </c>
      <c r="E256" s="3086" t="str">
        <f t="shared" si="26"/>
        <v>其他流动负债</v>
      </c>
      <c r="F256" s="3087" t="s">
        <v>6454</v>
      </c>
      <c r="G256" s="3088">
        <f t="shared" si="27"/>
        <v>0</v>
      </c>
      <c r="H256" s="3089">
        <f t="shared" ca="1" si="35"/>
        <v>0</v>
      </c>
      <c r="I256" s="3091" t="s">
        <v>6803</v>
      </c>
      <c r="J256" s="3070"/>
      <c r="K256" s="3088">
        <f t="shared" si="31"/>
        <v>0</v>
      </c>
      <c r="L256" s="3069">
        <f t="shared" ca="1" si="36"/>
        <v>0</v>
      </c>
      <c r="M256" s="3091" t="s">
        <v>6803</v>
      </c>
      <c r="N256" s="3070"/>
      <c r="O256" s="3097"/>
      <c r="P256" s="3098"/>
      <c r="Q256" s="3098"/>
      <c r="R256" s="3098"/>
      <c r="S256" s="3099" t="s">
        <v>295</v>
      </c>
      <c r="T256" s="3099" t="s">
        <v>213</v>
      </c>
      <c r="U256" s="3100"/>
      <c r="V256" s="3100" t="s">
        <v>295</v>
      </c>
      <c r="W256" s="3100" t="s">
        <v>6797</v>
      </c>
      <c r="X256" s="3100" t="s">
        <v>6798</v>
      </c>
      <c r="Y256" s="3101" t="s">
        <v>164</v>
      </c>
    </row>
    <row r="257" spans="1:25" ht="18">
      <c r="A257" s="1304"/>
      <c r="B257" s="643">
        <v>2501</v>
      </c>
      <c r="C257" s="643" t="s">
        <v>1637</v>
      </c>
      <c r="D257" s="3085">
        <v>1</v>
      </c>
      <c r="E257" s="3086" t="str">
        <f t="shared" si="26"/>
        <v>长期借款</v>
      </c>
      <c r="F257" s="3087" t="s">
        <v>1638</v>
      </c>
      <c r="G257" s="3088">
        <f t="shared" si="27"/>
        <v>0</v>
      </c>
      <c r="H257" s="3089">
        <f t="shared" ca="1" si="35"/>
        <v>0</v>
      </c>
      <c r="I257" s="3091">
        <f ca="1">IF(AND(LEN(G257)&gt;0,LEN(H257)&gt;0),ROUND(SUM(G257)-SUM(H257),2),"")</f>
        <v>0</v>
      </c>
      <c r="J257" s="3070" t="str">
        <f ca="1">IF(ISNA(I257),"N/A",IF(I257=0,"√","？"))</f>
        <v>√</v>
      </c>
      <c r="K257" s="3088">
        <f t="shared" si="31"/>
        <v>0</v>
      </c>
      <c r="L257" s="3069">
        <f t="shared" ca="1" si="36"/>
        <v>0</v>
      </c>
      <c r="M257" s="3091">
        <f ca="1">IF(AND(LEN(K257)&gt;0,LEN(L257)&gt;0),ROUND(SUM(K257)-SUM(L257),2),"")</f>
        <v>0</v>
      </c>
      <c r="N257" s="3070" t="str">
        <f ca="1">IF(ISNA(M257),"N/A",IF(M257=0,"√","？"))</f>
        <v>√</v>
      </c>
      <c r="O257" s="3097"/>
      <c r="P257" s="3098"/>
      <c r="Q257" s="3098"/>
      <c r="R257" s="3098"/>
      <c r="S257" s="3099" t="s">
        <v>295</v>
      </c>
      <c r="T257" s="3099" t="s">
        <v>213</v>
      </c>
      <c r="U257" s="3100"/>
      <c r="V257" s="3100" t="s">
        <v>295</v>
      </c>
      <c r="W257" s="3100" t="s">
        <v>6797</v>
      </c>
      <c r="X257" s="3100" t="s">
        <v>6798</v>
      </c>
      <c r="Y257" s="3101" t="s">
        <v>164</v>
      </c>
    </row>
    <row r="258" spans="1:25" ht="24" hidden="1">
      <c r="A258" s="1304"/>
      <c r="B258" s="643">
        <v>2501</v>
      </c>
      <c r="C258" s="643" t="s">
        <v>1642</v>
      </c>
      <c r="D258" s="3085">
        <v>2</v>
      </c>
      <c r="E258" s="3086" t="str">
        <f t="shared" si="26"/>
        <v>长期借款</v>
      </c>
      <c r="F258" s="3087" t="s">
        <v>1643</v>
      </c>
      <c r="G258" s="3088">
        <f t="shared" si="27"/>
        <v>0</v>
      </c>
      <c r="H258" s="3089">
        <f t="shared" ca="1" si="35"/>
        <v>0</v>
      </c>
      <c r="I258" s="3091" t="s">
        <v>6803</v>
      </c>
      <c r="J258" s="3070"/>
      <c r="K258" s="3088">
        <f t="shared" si="31"/>
        <v>0</v>
      </c>
      <c r="L258" s="3069" t="s">
        <v>6799</v>
      </c>
      <c r="M258" s="3091" t="s">
        <v>6803</v>
      </c>
      <c r="N258" s="3070"/>
      <c r="O258" s="3097"/>
      <c r="P258" s="3098"/>
      <c r="Q258" s="3098"/>
      <c r="R258" s="3098"/>
      <c r="S258" s="3099" t="s">
        <v>295</v>
      </c>
      <c r="T258" s="3099" t="s">
        <v>213</v>
      </c>
      <c r="U258" s="3100"/>
      <c r="V258" s="3100" t="s">
        <v>295</v>
      </c>
      <c r="W258" s="3100" t="s">
        <v>6797</v>
      </c>
      <c r="X258" s="3100" t="s">
        <v>213</v>
      </c>
      <c r="Y258" s="3101" t="s">
        <v>164</v>
      </c>
    </row>
    <row r="259" spans="1:25" ht="24" hidden="1">
      <c r="A259" s="1304"/>
      <c r="B259" s="643">
        <v>2501</v>
      </c>
      <c r="C259" s="643" t="s">
        <v>1647</v>
      </c>
      <c r="D259" s="3085">
        <v>2</v>
      </c>
      <c r="E259" s="3086" t="str">
        <f t="shared" si="26"/>
        <v>长期借款</v>
      </c>
      <c r="F259" s="3087" t="s">
        <v>1648</v>
      </c>
      <c r="G259" s="3088">
        <f t="shared" si="27"/>
        <v>0</v>
      </c>
      <c r="H259" s="3089">
        <f t="shared" ca="1" si="35"/>
        <v>0</v>
      </c>
      <c r="I259" s="3091" t="s">
        <v>6803</v>
      </c>
      <c r="J259" s="3070"/>
      <c r="K259" s="3088">
        <f t="shared" si="31"/>
        <v>0</v>
      </c>
      <c r="L259" s="3069" t="s">
        <v>6799</v>
      </c>
      <c r="M259" s="3091" t="s">
        <v>6803</v>
      </c>
      <c r="N259" s="3070"/>
      <c r="O259" s="3097"/>
      <c r="P259" s="3098"/>
      <c r="Q259" s="3098"/>
      <c r="R259" s="3098"/>
      <c r="S259" s="3099" t="s">
        <v>295</v>
      </c>
      <c r="T259" s="3099" t="s">
        <v>213</v>
      </c>
      <c r="U259" s="3100"/>
      <c r="V259" s="3100" t="s">
        <v>295</v>
      </c>
      <c r="W259" s="3100" t="s">
        <v>6797</v>
      </c>
      <c r="X259" s="3100" t="s">
        <v>213</v>
      </c>
      <c r="Y259" s="3101" t="s">
        <v>164</v>
      </c>
    </row>
    <row r="260" spans="1:25" ht="24" hidden="1">
      <c r="A260" s="1304"/>
      <c r="B260" s="643">
        <v>2501</v>
      </c>
      <c r="C260" s="643" t="s">
        <v>1652</v>
      </c>
      <c r="D260" s="3085">
        <v>2</v>
      </c>
      <c r="E260" s="3086" t="str">
        <f t="shared" si="26"/>
        <v>长期借款</v>
      </c>
      <c r="F260" s="3087" t="s">
        <v>1653</v>
      </c>
      <c r="G260" s="3088">
        <f t="shared" si="27"/>
        <v>0</v>
      </c>
      <c r="H260" s="3089">
        <f t="shared" ca="1" si="35"/>
        <v>0</v>
      </c>
      <c r="I260" s="3091" t="s">
        <v>6803</v>
      </c>
      <c r="J260" s="3070"/>
      <c r="K260" s="3088">
        <f t="shared" si="31"/>
        <v>0</v>
      </c>
      <c r="L260" s="3069" t="s">
        <v>6799</v>
      </c>
      <c r="M260" s="3091" t="s">
        <v>6803</v>
      </c>
      <c r="N260" s="3070"/>
      <c r="O260" s="3097"/>
      <c r="P260" s="3098"/>
      <c r="Q260" s="3098"/>
      <c r="R260" s="3098"/>
      <c r="S260" s="3099" t="s">
        <v>295</v>
      </c>
      <c r="T260" s="3099" t="s">
        <v>213</v>
      </c>
      <c r="U260" s="3100"/>
      <c r="V260" s="3100" t="s">
        <v>295</v>
      </c>
      <c r="W260" s="3100" t="s">
        <v>6797</v>
      </c>
      <c r="X260" s="3100" t="s">
        <v>213</v>
      </c>
      <c r="Y260" s="3101" t="s">
        <v>164</v>
      </c>
    </row>
    <row r="261" spans="1:25" ht="18" hidden="1">
      <c r="A261" s="1304"/>
      <c r="B261" s="643">
        <v>2501</v>
      </c>
      <c r="C261" s="643" t="s">
        <v>1657</v>
      </c>
      <c r="D261" s="3085">
        <v>2</v>
      </c>
      <c r="E261" s="3086" t="str">
        <f t="shared" si="26"/>
        <v>长期借款</v>
      </c>
      <c r="F261" s="3087" t="s">
        <v>1658</v>
      </c>
      <c r="G261" s="3088">
        <f t="shared" si="27"/>
        <v>0</v>
      </c>
      <c r="H261" s="3089">
        <f t="shared" ca="1" si="35"/>
        <v>0</v>
      </c>
      <c r="I261" s="3091" t="s">
        <v>6803</v>
      </c>
      <c r="J261" s="3070"/>
      <c r="K261" s="3088">
        <f t="shared" si="31"/>
        <v>0</v>
      </c>
      <c r="L261" s="3069">
        <f ca="1">INDIRECT("Notes!CheckB"&amp;$C261)</f>
        <v>0</v>
      </c>
      <c r="M261" s="3091" t="s">
        <v>6803</v>
      </c>
      <c r="N261" s="3070"/>
      <c r="O261" s="3097"/>
      <c r="P261" s="3098"/>
      <c r="Q261" s="3098"/>
      <c r="R261" s="3098"/>
      <c r="S261" s="3099" t="s">
        <v>295</v>
      </c>
      <c r="T261" s="3099" t="s">
        <v>213</v>
      </c>
      <c r="U261" s="3100"/>
      <c r="V261" s="3100" t="s">
        <v>295</v>
      </c>
      <c r="W261" s="3100" t="s">
        <v>6797</v>
      </c>
      <c r="X261" s="3100" t="s">
        <v>213</v>
      </c>
      <c r="Y261" s="3101" t="s">
        <v>164</v>
      </c>
    </row>
    <row r="262" spans="1:25" ht="18">
      <c r="A262" s="1304"/>
      <c r="B262" s="643">
        <v>2502</v>
      </c>
      <c r="C262" s="643" t="s">
        <v>1662</v>
      </c>
      <c r="D262" s="3085">
        <v>1</v>
      </c>
      <c r="E262" s="3086" t="str">
        <f t="shared" si="26"/>
        <v>应付债券</v>
      </c>
      <c r="F262" s="3087" t="s">
        <v>1663</v>
      </c>
      <c r="G262" s="3088">
        <f t="shared" si="27"/>
        <v>0</v>
      </c>
      <c r="H262" s="3089">
        <f t="shared" ca="1" si="35"/>
        <v>0</v>
      </c>
      <c r="I262" s="3091">
        <f ca="1">IF(AND(LEN(G262)&gt;0,LEN(H262)&gt;0),ROUND(SUM(G262)-SUM(H262),2),"")</f>
        <v>0</v>
      </c>
      <c r="J262" s="3070" t="str">
        <f ca="1">IF(ISNA(I262),"N/A",IF(I262=0,"√","？"))</f>
        <v>√</v>
      </c>
      <c r="K262" s="3088">
        <f t="shared" si="31"/>
        <v>0</v>
      </c>
      <c r="L262" s="3069">
        <f ca="1">INDIRECT("Notes!CheckB"&amp;$C262)</f>
        <v>0</v>
      </c>
      <c r="M262" s="3091">
        <f ca="1">IF(AND(LEN(K262)&gt;0,LEN(L262)&gt;0),ROUND(SUM(K262)-SUM(L262),2),"")</f>
        <v>0</v>
      </c>
      <c r="N262" s="3070" t="str">
        <f ca="1">IF(ISNA(M262),"N/A",IF(M262=0,"√","？"))</f>
        <v>√</v>
      </c>
      <c r="O262" s="3097"/>
      <c r="P262" s="3098"/>
      <c r="Q262" s="3098"/>
      <c r="R262" s="3098"/>
      <c r="S262" s="3099" t="s">
        <v>295</v>
      </c>
      <c r="T262" s="3099" t="s">
        <v>213</v>
      </c>
      <c r="U262" s="3100"/>
      <c r="V262" s="3100" t="s">
        <v>295</v>
      </c>
      <c r="W262" s="3100" t="s">
        <v>6797</v>
      </c>
      <c r="X262" s="3100" t="s">
        <v>6798</v>
      </c>
      <c r="Y262" s="3101" t="s">
        <v>164</v>
      </c>
    </row>
    <row r="263" spans="1:25" ht="48" hidden="1">
      <c r="A263" s="1304"/>
      <c r="B263" s="643">
        <v>2502</v>
      </c>
      <c r="C263" s="643" t="s">
        <v>1667</v>
      </c>
      <c r="D263" s="3085">
        <v>2</v>
      </c>
      <c r="E263" s="3086" t="str">
        <f t="shared" si="26"/>
        <v>应付债券</v>
      </c>
      <c r="F263" s="3087" t="s">
        <v>6455</v>
      </c>
      <c r="G263" s="3088">
        <f t="shared" si="27"/>
        <v>0</v>
      </c>
      <c r="H263" s="3089">
        <f t="shared" ca="1" si="35"/>
        <v>0</v>
      </c>
      <c r="I263" s="3091" t="s">
        <v>6803</v>
      </c>
      <c r="J263" s="3070"/>
      <c r="K263" s="3088">
        <f t="shared" si="31"/>
        <v>0</v>
      </c>
      <c r="L263" s="3069">
        <f ca="1">INDIRECT("Notes!CheckB"&amp;$C263)</f>
        <v>0</v>
      </c>
      <c r="M263" s="3091" t="s">
        <v>6803</v>
      </c>
      <c r="N263" s="3070"/>
      <c r="O263" s="3097"/>
      <c r="P263" s="3098"/>
      <c r="Q263" s="3098"/>
      <c r="R263" s="3098"/>
      <c r="S263" s="3099" t="s">
        <v>295</v>
      </c>
      <c r="T263" s="3099" t="s">
        <v>213</v>
      </c>
      <c r="U263" s="3100"/>
      <c r="V263" s="3100" t="s">
        <v>295</v>
      </c>
      <c r="W263" s="3100" t="s">
        <v>6797</v>
      </c>
      <c r="X263" s="3100" t="s">
        <v>6798</v>
      </c>
      <c r="Y263" s="3101" t="s">
        <v>164</v>
      </c>
    </row>
    <row r="264" spans="1:25" ht="60" hidden="1">
      <c r="A264" s="1304"/>
      <c r="B264" s="643">
        <v>2502</v>
      </c>
      <c r="C264" s="643" t="s">
        <v>1671</v>
      </c>
      <c r="D264" s="3085">
        <v>2</v>
      </c>
      <c r="E264" s="3086" t="str">
        <f t="shared" si="26"/>
        <v>应付债券</v>
      </c>
      <c r="F264" s="3087" t="s">
        <v>1672</v>
      </c>
      <c r="G264" s="3088">
        <f t="shared" si="27"/>
        <v>0</v>
      </c>
      <c r="H264" s="3089">
        <f t="shared" ca="1" si="35"/>
        <v>0</v>
      </c>
      <c r="I264" s="3091" t="s">
        <v>6803</v>
      </c>
      <c r="J264" s="3070"/>
      <c r="K264" s="3088">
        <f t="shared" si="31"/>
        <v>0</v>
      </c>
      <c r="L264" s="3069" t="s">
        <v>6799</v>
      </c>
      <c r="M264" s="3091" t="s">
        <v>6803</v>
      </c>
      <c r="N264" s="3070"/>
      <c r="O264" s="3097"/>
      <c r="P264" s="3098"/>
      <c r="Q264" s="3098"/>
      <c r="R264" s="3098"/>
      <c r="S264" s="3099" t="s">
        <v>295</v>
      </c>
      <c r="T264" s="3099" t="s">
        <v>213</v>
      </c>
      <c r="U264" s="3100"/>
      <c r="V264" s="3100" t="s">
        <v>295</v>
      </c>
      <c r="W264" s="3100" t="s">
        <v>6797</v>
      </c>
      <c r="X264" s="3100" t="s">
        <v>6800</v>
      </c>
      <c r="Y264" s="3101" t="s">
        <v>164</v>
      </c>
    </row>
    <row r="265" spans="1:25" ht="60" hidden="1">
      <c r="A265" s="1304"/>
      <c r="B265" s="643">
        <v>2502</v>
      </c>
      <c r="C265" s="643" t="s">
        <v>1677</v>
      </c>
      <c r="D265" s="3085">
        <v>2</v>
      </c>
      <c r="E265" s="3086" t="str">
        <f t="shared" ref="E265:E328" si="37">IF(ISERROR(VLOOKUP($B265,Sheet_Items,2,0)),"        ----",VLOOKUP($B265,Sheet_Items,2,0))</f>
        <v>应付债券</v>
      </c>
      <c r="F265" s="3087" t="s">
        <v>1678</v>
      </c>
      <c r="G265" s="3088">
        <f t="shared" ref="G265:G328" si="38">IF(ISERROR(VLOOKUP($B265,Sheet_Trialbal,6,0)),"        ----",VLOOKUP($B265,Sheet_Trialbal,6,0))</f>
        <v>0</v>
      </c>
      <c r="H265" s="3089">
        <f t="shared" ca="1" si="35"/>
        <v>0</v>
      </c>
      <c r="I265" s="3091" t="s">
        <v>6803</v>
      </c>
      <c r="J265" s="3070"/>
      <c r="K265" s="3088">
        <f t="shared" si="31"/>
        <v>0</v>
      </c>
      <c r="L265" s="3069">
        <f ca="1">INDIRECT("Notes!CheckB"&amp;$C265)</f>
        <v>0</v>
      </c>
      <c r="M265" s="3091" t="s">
        <v>6803</v>
      </c>
      <c r="N265" s="3070"/>
      <c r="O265" s="3097"/>
      <c r="P265" s="3098"/>
      <c r="Q265" s="3098"/>
      <c r="R265" s="3098"/>
      <c r="S265" s="3099" t="s">
        <v>295</v>
      </c>
      <c r="T265" s="3099" t="s">
        <v>213</v>
      </c>
      <c r="U265" s="3100"/>
      <c r="V265" s="3100" t="s">
        <v>295</v>
      </c>
      <c r="W265" s="3100" t="s">
        <v>6797</v>
      </c>
      <c r="X265" s="3100" t="s">
        <v>6798</v>
      </c>
      <c r="Y265" s="3101" t="s">
        <v>164</v>
      </c>
    </row>
    <row r="266" spans="1:25" ht="18" hidden="1">
      <c r="A266" s="1304"/>
      <c r="B266" s="643">
        <v>2502</v>
      </c>
      <c r="C266" s="643" t="s">
        <v>5589</v>
      </c>
      <c r="D266" s="3085">
        <v>2</v>
      </c>
      <c r="E266" s="3086" t="str">
        <f t="shared" si="37"/>
        <v>应付债券</v>
      </c>
      <c r="F266" s="3087" t="s">
        <v>5590</v>
      </c>
      <c r="G266" s="3088">
        <f t="shared" si="38"/>
        <v>0</v>
      </c>
      <c r="H266" s="3089">
        <f t="shared" ca="1" si="35"/>
        <v>0</v>
      </c>
      <c r="I266" s="3091" t="s">
        <v>6803</v>
      </c>
      <c r="J266" s="3070"/>
      <c r="K266" s="3088">
        <f t="shared" si="31"/>
        <v>0</v>
      </c>
      <c r="L266" s="3069">
        <f ca="1">INDIRECT("Notes!CheckB"&amp;$C266)</f>
        <v>0</v>
      </c>
      <c r="M266" s="3091" t="s">
        <v>6803</v>
      </c>
      <c r="N266" s="3070"/>
      <c r="O266" s="3097"/>
      <c r="P266" s="3098"/>
      <c r="Q266" s="3098"/>
      <c r="R266" s="3098"/>
      <c r="S266" s="3099" t="s">
        <v>295</v>
      </c>
      <c r="T266" s="3099" t="s">
        <v>213</v>
      </c>
      <c r="U266" s="3100"/>
      <c r="V266" s="3100" t="s">
        <v>295</v>
      </c>
      <c r="W266" s="3100" t="s">
        <v>6797</v>
      </c>
      <c r="X266" s="3100" t="s">
        <v>213</v>
      </c>
      <c r="Y266" s="3101" t="s">
        <v>164</v>
      </c>
    </row>
    <row r="267" spans="1:25" ht="24">
      <c r="A267" s="1304"/>
      <c r="B267" s="643">
        <v>2706</v>
      </c>
      <c r="C267" s="643" t="s">
        <v>1682</v>
      </c>
      <c r="D267" s="3085">
        <v>1</v>
      </c>
      <c r="E267" s="3086" t="str">
        <f t="shared" si="37"/>
        <v>长期应付款（报表项目）</v>
      </c>
      <c r="F267" s="3087" t="s">
        <v>1683</v>
      </c>
      <c r="G267" s="3088">
        <f t="shared" si="38"/>
        <v>0</v>
      </c>
      <c r="H267" s="3089">
        <f t="shared" ca="1" si="35"/>
        <v>0</v>
      </c>
      <c r="I267" s="3091">
        <f ca="1">IF(AND(LEN(G267)&gt;0,LEN(H267)&gt;0),ROUND(SUM(G267)-SUM(H267),2),"")</f>
        <v>0</v>
      </c>
      <c r="J267" s="3070" t="str">
        <f ca="1">IF(ISNA(I267),"N/A",IF(I267=0,"√","？"))</f>
        <v>√</v>
      </c>
      <c r="K267" s="3088">
        <f t="shared" si="31"/>
        <v>0</v>
      </c>
      <c r="L267" s="3069">
        <f ca="1">INDIRECT("Notes!CheckB"&amp;$C267)</f>
        <v>0</v>
      </c>
      <c r="M267" s="3091">
        <f ca="1">IF(AND(LEN(K267)&gt;0,LEN(L267)&gt;0),ROUND(SUM(K267)-SUM(L267),2),"")</f>
        <v>0</v>
      </c>
      <c r="N267" s="3070" t="str">
        <f ca="1">IF(ISNA(M267),"N/A",IF(M267=0,"√","？"))</f>
        <v>√</v>
      </c>
      <c r="O267" s="3097"/>
      <c r="P267" s="3098"/>
      <c r="Q267" s="3098"/>
      <c r="R267" s="3098"/>
      <c r="S267" s="3099" t="s">
        <v>295</v>
      </c>
      <c r="T267" s="3099" t="s">
        <v>213</v>
      </c>
      <c r="U267" s="3100"/>
      <c r="V267" s="3100" t="s">
        <v>295</v>
      </c>
      <c r="W267" s="3100" t="s">
        <v>6797</v>
      </c>
      <c r="X267" s="3100" t="s">
        <v>6798</v>
      </c>
      <c r="Y267" s="3101" t="s">
        <v>164</v>
      </c>
    </row>
    <row r="268" spans="1:25" ht="24">
      <c r="A268" s="1304"/>
      <c r="B268" s="643">
        <v>2701</v>
      </c>
      <c r="C268" s="643" t="s">
        <v>1687</v>
      </c>
      <c r="D268" s="3085">
        <v>1</v>
      </c>
      <c r="E268" s="3086" t="str">
        <f t="shared" si="37"/>
        <v>长期应付款</v>
      </c>
      <c r="F268" s="3087" t="s">
        <v>1688</v>
      </c>
      <c r="G268" s="3088">
        <f t="shared" si="38"/>
        <v>0</v>
      </c>
      <c r="H268" s="3089">
        <f t="shared" ca="1" si="35"/>
        <v>0</v>
      </c>
      <c r="I268" s="3091">
        <f ca="1">IF(AND(LEN(G268)&gt;0,LEN(H268)&gt;0),ROUND(SUM(G268)-SUM(H268),2),"")</f>
        <v>0</v>
      </c>
      <c r="J268" s="3070" t="str">
        <f ca="1">IF(ISNA(I268),"N/A",IF(I268=0,"√","？"))</f>
        <v>√</v>
      </c>
      <c r="K268" s="3088">
        <f t="shared" si="31"/>
        <v>0</v>
      </c>
      <c r="L268" s="3069">
        <f ca="1">INDIRECT("Notes!CheckB"&amp;$C268)</f>
        <v>0</v>
      </c>
      <c r="M268" s="3091">
        <f ca="1">IF(AND(LEN(K268)&gt;0,LEN(L268)&gt;0),ROUND(SUM(K268)-SUM(L268),2),"")</f>
        <v>0</v>
      </c>
      <c r="N268" s="3070" t="str">
        <f ca="1">IF(ISNA(M268),"N/A",IF(M268=0,"√","？"))</f>
        <v>√</v>
      </c>
      <c r="O268" s="3097"/>
      <c r="P268" s="3098"/>
      <c r="Q268" s="3098"/>
      <c r="R268" s="3098"/>
      <c r="S268" s="3099" t="s">
        <v>295</v>
      </c>
      <c r="T268" s="3099" t="s">
        <v>213</v>
      </c>
      <c r="U268" s="3100"/>
      <c r="V268" s="3100" t="s">
        <v>295</v>
      </c>
      <c r="W268" s="3100" t="s">
        <v>6797</v>
      </c>
      <c r="X268" s="3100" t="s">
        <v>6798</v>
      </c>
      <c r="Y268" s="3101" t="s">
        <v>164</v>
      </c>
    </row>
    <row r="269" spans="1:25" ht="18" hidden="1">
      <c r="A269" s="1304"/>
      <c r="B269" s="643">
        <v>2701</v>
      </c>
      <c r="C269" s="643" t="s">
        <v>1692</v>
      </c>
      <c r="D269" s="3085">
        <v>2</v>
      </c>
      <c r="E269" s="3086" t="str">
        <f t="shared" si="37"/>
        <v>长期应付款</v>
      </c>
      <c r="F269" s="3087" t="s">
        <v>1693</v>
      </c>
      <c r="G269" s="3088">
        <f t="shared" si="38"/>
        <v>0</v>
      </c>
      <c r="H269" s="3089">
        <f t="shared" ca="1" si="35"/>
        <v>0</v>
      </c>
      <c r="I269" s="3091" t="s">
        <v>6803</v>
      </c>
      <c r="J269" s="3070"/>
      <c r="K269" s="3088">
        <f t="shared" si="31"/>
        <v>0</v>
      </c>
      <c r="L269" s="3069" t="s">
        <v>6799</v>
      </c>
      <c r="M269" s="3091" t="s">
        <v>6803</v>
      </c>
      <c r="N269" s="3070"/>
      <c r="O269" s="3097"/>
      <c r="P269" s="3098"/>
      <c r="Q269" s="3098"/>
      <c r="R269" s="3098"/>
      <c r="S269" s="3099" t="s">
        <v>295</v>
      </c>
      <c r="T269" s="3099" t="s">
        <v>213</v>
      </c>
      <c r="U269" s="3100"/>
      <c r="V269" s="3100" t="s">
        <v>295</v>
      </c>
      <c r="W269" s="3100" t="s">
        <v>6797</v>
      </c>
      <c r="X269" s="3100" t="s">
        <v>213</v>
      </c>
      <c r="Y269" s="3101" t="s">
        <v>164</v>
      </c>
    </row>
    <row r="270" spans="1:25" ht="18">
      <c r="A270" s="1304"/>
      <c r="B270" s="643">
        <v>2711</v>
      </c>
      <c r="C270" s="643" t="s">
        <v>1697</v>
      </c>
      <c r="D270" s="3085">
        <v>1</v>
      </c>
      <c r="E270" s="3086" t="str">
        <f t="shared" si="37"/>
        <v>专项应付款</v>
      </c>
      <c r="F270" s="3087" t="s">
        <v>1698</v>
      </c>
      <c r="G270" s="3088">
        <f t="shared" si="38"/>
        <v>0</v>
      </c>
      <c r="H270" s="3089">
        <f t="shared" ca="1" si="35"/>
        <v>0</v>
      </c>
      <c r="I270" s="3091">
        <f ca="1">IF(AND(LEN(G270)&gt;0,LEN(H270)&gt;0),ROUND(SUM(G270)-SUM(H270),2),"")</f>
        <v>0</v>
      </c>
      <c r="J270" s="3070" t="str">
        <f ca="1">IF(ISNA(I270),"N/A",IF(I270=0,"√","？"))</f>
        <v>√</v>
      </c>
      <c r="K270" s="3088">
        <f t="shared" si="31"/>
        <v>0</v>
      </c>
      <c r="L270" s="3069">
        <f ca="1">INDIRECT("Notes!CheckB"&amp;$C270)</f>
        <v>0</v>
      </c>
      <c r="M270" s="3091">
        <f ca="1">IF(AND(LEN(K270)&gt;0,LEN(L270)&gt;0),ROUND(SUM(K270)-SUM(L270),2),"")</f>
        <v>0</v>
      </c>
      <c r="N270" s="3070" t="str">
        <f ca="1">IF(ISNA(M270),"N/A",IF(M270=0,"√","？"))</f>
        <v>√</v>
      </c>
      <c r="O270" s="3097"/>
      <c r="P270" s="3098"/>
      <c r="Q270" s="3098"/>
      <c r="R270" s="3098"/>
      <c r="S270" s="3099" t="s">
        <v>295</v>
      </c>
      <c r="T270" s="3099" t="s">
        <v>213</v>
      </c>
      <c r="U270" s="3100"/>
      <c r="V270" s="3100" t="s">
        <v>295</v>
      </c>
      <c r="W270" s="3100" t="s">
        <v>6797</v>
      </c>
      <c r="X270" s="3100" t="s">
        <v>6798</v>
      </c>
      <c r="Y270" s="3101" t="s">
        <v>164</v>
      </c>
    </row>
    <row r="271" spans="1:25" ht="18" hidden="1">
      <c r="A271" s="1304"/>
      <c r="B271" s="643">
        <v>2711</v>
      </c>
      <c r="C271" s="643" t="s">
        <v>1702</v>
      </c>
      <c r="D271" s="3085">
        <v>2</v>
      </c>
      <c r="E271" s="3086" t="str">
        <f t="shared" si="37"/>
        <v>专项应付款</v>
      </c>
      <c r="F271" s="3087" t="s">
        <v>1703</v>
      </c>
      <c r="G271" s="3088">
        <f t="shared" si="38"/>
        <v>0</v>
      </c>
      <c r="H271" s="3089">
        <f t="shared" ca="1" si="35"/>
        <v>0</v>
      </c>
      <c r="I271" s="3091" t="s">
        <v>6803</v>
      </c>
      <c r="J271" s="3070"/>
      <c r="K271" s="3088">
        <f t="shared" si="31"/>
        <v>0</v>
      </c>
      <c r="L271" s="3069" t="s">
        <v>6799</v>
      </c>
      <c r="M271" s="3091" t="s">
        <v>6803</v>
      </c>
      <c r="N271" s="3070"/>
      <c r="O271" s="3097"/>
      <c r="P271" s="3098"/>
      <c r="Q271" s="3098"/>
      <c r="R271" s="3098"/>
      <c r="S271" s="3099" t="s">
        <v>295</v>
      </c>
      <c r="T271" s="3099" t="s">
        <v>213</v>
      </c>
      <c r="U271" s="3100"/>
      <c r="V271" s="3100" t="s">
        <v>295</v>
      </c>
      <c r="W271" s="3100" t="s">
        <v>6797</v>
      </c>
      <c r="X271" s="3100" t="s">
        <v>213</v>
      </c>
      <c r="Y271" s="3101" t="s">
        <v>164</v>
      </c>
    </row>
    <row r="272" spans="1:25" ht="18">
      <c r="A272" s="1304"/>
      <c r="B272" s="643">
        <v>2715</v>
      </c>
      <c r="C272" s="643" t="s">
        <v>1707</v>
      </c>
      <c r="D272" s="3085">
        <v>1</v>
      </c>
      <c r="E272" s="3086" t="str">
        <f t="shared" si="37"/>
        <v>长期应付职工薪酬</v>
      </c>
      <c r="F272" s="3087" t="s">
        <v>1708</v>
      </c>
      <c r="G272" s="3088">
        <f t="shared" si="38"/>
        <v>0</v>
      </c>
      <c r="H272" s="3089">
        <f t="shared" ca="1" si="35"/>
        <v>0</v>
      </c>
      <c r="I272" s="3091">
        <f ca="1">IF(AND(LEN(G272)&gt;0,LEN(H272)&gt;0),ROUND(SUM(G272)-SUM(H272),2),"")</f>
        <v>0</v>
      </c>
      <c r="J272" s="3070" t="str">
        <f ca="1">IF(ISNA(I272),"N/A",IF(I272=0,"√","？"))</f>
        <v>√</v>
      </c>
      <c r="K272" s="3088">
        <f t="shared" si="31"/>
        <v>0</v>
      </c>
      <c r="L272" s="3069">
        <f ca="1">INDIRECT("Notes!CheckB"&amp;$C272)</f>
        <v>0</v>
      </c>
      <c r="M272" s="3091">
        <f ca="1">IF(AND(LEN(K272)&gt;0,LEN(L272)&gt;0),ROUND(SUM(K272)-SUM(L272),2),"")</f>
        <v>0</v>
      </c>
      <c r="N272" s="3070" t="str">
        <f ca="1">IF(ISNA(M272),"N/A",IF(M272=0,"√","？"))</f>
        <v>√</v>
      </c>
      <c r="O272" s="3097"/>
      <c r="P272" s="3098"/>
      <c r="Q272" s="3098"/>
      <c r="R272" s="3098"/>
      <c r="S272" s="3099" t="s">
        <v>295</v>
      </c>
      <c r="T272" s="3099" t="s">
        <v>213</v>
      </c>
      <c r="U272" s="3100"/>
      <c r="V272" s="3100" t="s">
        <v>295</v>
      </c>
      <c r="W272" s="3100" t="s">
        <v>6797</v>
      </c>
      <c r="X272" s="3100" t="s">
        <v>6798</v>
      </c>
      <c r="Y272" s="3101" t="s">
        <v>164</v>
      </c>
    </row>
    <row r="273" spans="1:25" ht="36" hidden="1">
      <c r="A273" s="1304"/>
      <c r="B273" s="643">
        <v>2715</v>
      </c>
      <c r="C273" s="643" t="s">
        <v>1712</v>
      </c>
      <c r="D273" s="3085">
        <v>2</v>
      </c>
      <c r="E273" s="3086" t="str">
        <f t="shared" si="37"/>
        <v>长期应付职工薪酬</v>
      </c>
      <c r="F273" s="3087" t="s">
        <v>1713</v>
      </c>
      <c r="G273" s="3088">
        <f t="shared" si="38"/>
        <v>0</v>
      </c>
      <c r="H273" s="3089" t="s">
        <v>6799</v>
      </c>
      <c r="I273" s="3091" t="s">
        <v>6803</v>
      </c>
      <c r="J273" s="3070"/>
      <c r="K273" s="3088">
        <f t="shared" si="31"/>
        <v>0</v>
      </c>
      <c r="L273" s="3069" t="s">
        <v>6799</v>
      </c>
      <c r="M273" s="3091" t="s">
        <v>6803</v>
      </c>
      <c r="N273" s="3070"/>
      <c r="O273" s="3097"/>
      <c r="P273" s="3098"/>
      <c r="Q273" s="3098"/>
      <c r="R273" s="3098"/>
      <c r="S273" s="3099" t="s">
        <v>295</v>
      </c>
      <c r="T273" s="3099" t="s">
        <v>213</v>
      </c>
      <c r="U273" s="3100"/>
      <c r="V273" s="3100" t="s">
        <v>295</v>
      </c>
      <c r="W273" s="3100" t="s">
        <v>6797</v>
      </c>
      <c r="X273" s="3100" t="s">
        <v>6800</v>
      </c>
      <c r="Y273" s="3101" t="s">
        <v>164</v>
      </c>
    </row>
    <row r="274" spans="1:25" ht="24" hidden="1">
      <c r="A274" s="1304"/>
      <c r="B274" s="643">
        <v>2715</v>
      </c>
      <c r="C274" s="643" t="s">
        <v>1717</v>
      </c>
      <c r="D274" s="3085">
        <v>2</v>
      </c>
      <c r="E274" s="3086" t="str">
        <f t="shared" si="37"/>
        <v>长期应付职工薪酬</v>
      </c>
      <c r="F274" s="3087" t="s">
        <v>1718</v>
      </c>
      <c r="G274" s="3088">
        <f t="shared" si="38"/>
        <v>0</v>
      </c>
      <c r="H274" s="3089" t="s">
        <v>6799</v>
      </c>
      <c r="I274" s="3091" t="s">
        <v>6803</v>
      </c>
      <c r="J274" s="3070"/>
      <c r="K274" s="3088">
        <f t="shared" si="31"/>
        <v>0</v>
      </c>
      <c r="L274" s="3069" t="s">
        <v>6799</v>
      </c>
      <c r="M274" s="3091" t="s">
        <v>6803</v>
      </c>
      <c r="N274" s="3070"/>
      <c r="O274" s="3097"/>
      <c r="P274" s="3098"/>
      <c r="Q274" s="3098"/>
      <c r="R274" s="3098"/>
      <c r="S274" s="3099" t="s">
        <v>295</v>
      </c>
      <c r="T274" s="3099" t="s">
        <v>213</v>
      </c>
      <c r="U274" s="3100"/>
      <c r="V274" s="3100" t="s">
        <v>295</v>
      </c>
      <c r="W274" s="3100" t="s">
        <v>6797</v>
      </c>
      <c r="X274" s="3100" t="s">
        <v>6800</v>
      </c>
      <c r="Y274" s="3101" t="s">
        <v>164</v>
      </c>
    </row>
    <row r="275" spans="1:25" ht="24" hidden="1">
      <c r="A275" s="1304"/>
      <c r="B275" s="643">
        <v>2715</v>
      </c>
      <c r="C275" s="643" t="s">
        <v>1722</v>
      </c>
      <c r="D275" s="3085">
        <v>2</v>
      </c>
      <c r="E275" s="3086" t="str">
        <f t="shared" si="37"/>
        <v>长期应付职工薪酬</v>
      </c>
      <c r="F275" s="3087" t="s">
        <v>6456</v>
      </c>
      <c r="G275" s="3088">
        <f t="shared" si="38"/>
        <v>0</v>
      </c>
      <c r="H275" s="3089" t="s">
        <v>6799</v>
      </c>
      <c r="I275" s="3091" t="s">
        <v>6803</v>
      </c>
      <c r="J275" s="3070"/>
      <c r="K275" s="3088">
        <f t="shared" si="31"/>
        <v>0</v>
      </c>
      <c r="L275" s="3069" t="s">
        <v>6799</v>
      </c>
      <c r="M275" s="3091" t="s">
        <v>6803</v>
      </c>
      <c r="N275" s="3070"/>
      <c r="O275" s="3097"/>
      <c r="P275" s="3098"/>
      <c r="Q275" s="3098"/>
      <c r="R275" s="3098"/>
      <c r="S275" s="3099" t="s">
        <v>295</v>
      </c>
      <c r="T275" s="3099" t="s">
        <v>213</v>
      </c>
      <c r="U275" s="3100"/>
      <c r="V275" s="3100" t="s">
        <v>295</v>
      </c>
      <c r="W275" s="3100" t="s">
        <v>6797</v>
      </c>
      <c r="X275" s="3100" t="s">
        <v>6800</v>
      </c>
      <c r="Y275" s="3101" t="s">
        <v>164</v>
      </c>
    </row>
    <row r="276" spans="1:25" ht="24" hidden="1">
      <c r="A276" s="1304"/>
      <c r="B276" s="643">
        <v>2715</v>
      </c>
      <c r="C276" s="643" t="s">
        <v>1736</v>
      </c>
      <c r="D276" s="3085">
        <v>2</v>
      </c>
      <c r="E276" s="3086" t="str">
        <f t="shared" si="37"/>
        <v>长期应付职工薪酬</v>
      </c>
      <c r="F276" s="3087" t="s">
        <v>1737</v>
      </c>
      <c r="G276" s="3088">
        <f t="shared" si="38"/>
        <v>0</v>
      </c>
      <c r="H276" s="3089" t="s">
        <v>6799</v>
      </c>
      <c r="I276" s="3091" t="s">
        <v>6803</v>
      </c>
      <c r="J276" s="3070"/>
      <c r="K276" s="3088">
        <f t="shared" si="31"/>
        <v>0</v>
      </c>
      <c r="L276" s="3069" t="s">
        <v>6799</v>
      </c>
      <c r="M276" s="3091" t="s">
        <v>6803</v>
      </c>
      <c r="N276" s="3070"/>
      <c r="O276" s="3097"/>
      <c r="P276" s="3098"/>
      <c r="Q276" s="3098"/>
      <c r="R276" s="3098"/>
      <c r="S276" s="3099" t="s">
        <v>295</v>
      </c>
      <c r="T276" s="3099" t="s">
        <v>213</v>
      </c>
      <c r="U276" s="3100"/>
      <c r="V276" s="3100" t="s">
        <v>295</v>
      </c>
      <c r="W276" s="3100" t="s">
        <v>6797</v>
      </c>
      <c r="X276" s="3100" t="s">
        <v>6800</v>
      </c>
      <c r="Y276" s="3101" t="s">
        <v>164</v>
      </c>
    </row>
    <row r="277" spans="1:25" ht="24" hidden="1">
      <c r="A277" s="1304"/>
      <c r="B277" s="643">
        <v>2715</v>
      </c>
      <c r="C277" s="643" t="s">
        <v>1741</v>
      </c>
      <c r="D277" s="3085">
        <v>2</v>
      </c>
      <c r="E277" s="3086" t="str">
        <f t="shared" si="37"/>
        <v>长期应付职工薪酬</v>
      </c>
      <c r="F277" s="3087" t="s">
        <v>1742</v>
      </c>
      <c r="G277" s="3088">
        <f t="shared" si="38"/>
        <v>0</v>
      </c>
      <c r="H277" s="3089" t="s">
        <v>6799</v>
      </c>
      <c r="I277" s="3091" t="s">
        <v>6803</v>
      </c>
      <c r="J277" s="3070"/>
      <c r="K277" s="3088">
        <f t="shared" si="31"/>
        <v>0</v>
      </c>
      <c r="L277" s="3069" t="s">
        <v>6799</v>
      </c>
      <c r="M277" s="3091" t="s">
        <v>6803</v>
      </c>
      <c r="N277" s="3070"/>
      <c r="O277" s="3097"/>
      <c r="P277" s="3098"/>
      <c r="Q277" s="3098"/>
      <c r="R277" s="3098"/>
      <c r="S277" s="3099" t="s">
        <v>295</v>
      </c>
      <c r="T277" s="3099" t="s">
        <v>213</v>
      </c>
      <c r="U277" s="3100"/>
      <c r="V277" s="3100" t="s">
        <v>295</v>
      </c>
      <c r="W277" s="3100" t="s">
        <v>6797</v>
      </c>
      <c r="X277" s="3100" t="s">
        <v>6800</v>
      </c>
      <c r="Y277" s="3101" t="s">
        <v>164</v>
      </c>
    </row>
    <row r="278" spans="1:25" ht="18">
      <c r="A278" s="1304"/>
      <c r="B278" s="643">
        <v>2801</v>
      </c>
      <c r="C278" s="643" t="s">
        <v>1746</v>
      </c>
      <c r="D278" s="3085">
        <v>1</v>
      </c>
      <c r="E278" s="3086" t="str">
        <f t="shared" si="37"/>
        <v>预计负债</v>
      </c>
      <c r="F278" s="3087" t="s">
        <v>1747</v>
      </c>
      <c r="G278" s="3088">
        <f t="shared" si="38"/>
        <v>0</v>
      </c>
      <c r="H278" s="3089">
        <f ca="1">INDIRECT("Notes!CheckA"&amp;$C278)</f>
        <v>0</v>
      </c>
      <c r="I278" s="3091">
        <f ca="1">IF(AND(LEN(G278)&gt;0,LEN(H278)&gt;0),ROUND(SUM(G278)-SUM(H278),2),"")</f>
        <v>0</v>
      </c>
      <c r="J278" s="3070" t="str">
        <f ca="1">IF(ISNA(I278),"N/A",IF(I278=0,"√","？"))</f>
        <v>√</v>
      </c>
      <c r="K278" s="3088">
        <f t="shared" si="31"/>
        <v>0</v>
      </c>
      <c r="L278" s="3069">
        <f ca="1">INDIRECT("Notes!CheckB"&amp;$C278)</f>
        <v>0</v>
      </c>
      <c r="M278" s="3091">
        <f ca="1">IF(AND(LEN(K278)&gt;0,LEN(L278)&gt;0),ROUND(SUM(K278)-SUM(L278),2),"")</f>
        <v>0</v>
      </c>
      <c r="N278" s="3070" t="str">
        <f ca="1">IF(ISNA(M278),"N/A",IF(M278=0,"√","？"))</f>
        <v>√</v>
      </c>
      <c r="O278" s="3097"/>
      <c r="P278" s="3098"/>
      <c r="Q278" s="3098"/>
      <c r="R278" s="3098"/>
      <c r="S278" s="3099" t="s">
        <v>295</v>
      </c>
      <c r="T278" s="3099" t="s">
        <v>213</v>
      </c>
      <c r="U278" s="3100"/>
      <c r="V278" s="3100" t="s">
        <v>295</v>
      </c>
      <c r="W278" s="3100" t="s">
        <v>6797</v>
      </c>
      <c r="X278" s="3100" t="s">
        <v>6798</v>
      </c>
      <c r="Y278" s="3101" t="s">
        <v>164</v>
      </c>
    </row>
    <row r="279" spans="1:25" ht="18">
      <c r="A279" s="1304"/>
      <c r="B279" s="643">
        <v>2401</v>
      </c>
      <c r="C279" s="643" t="s">
        <v>1751</v>
      </c>
      <c r="D279" s="3085">
        <v>1</v>
      </c>
      <c r="E279" s="3086" t="str">
        <f t="shared" si="37"/>
        <v>递延收益</v>
      </c>
      <c r="F279" s="3087" t="s">
        <v>1752</v>
      </c>
      <c r="G279" s="3088">
        <f t="shared" si="38"/>
        <v>0</v>
      </c>
      <c r="H279" s="3089">
        <f ca="1">INDIRECT("Notes!CheckA"&amp;$C279)</f>
        <v>0</v>
      </c>
      <c r="I279" s="3091">
        <f ca="1">IF(AND(LEN(G279)&gt;0,LEN(H279)&gt;0),ROUND(SUM(G279)-SUM(H279),2),"")</f>
        <v>0</v>
      </c>
      <c r="J279" s="3070" t="str">
        <f ca="1">IF(ISNA(I279),"N/A",IF(I279=0,"√","？"))</f>
        <v>√</v>
      </c>
      <c r="K279" s="3088">
        <f t="shared" si="31"/>
        <v>0</v>
      </c>
      <c r="L279" s="3069">
        <f ca="1">INDIRECT("Notes!CheckB"&amp;$C279)</f>
        <v>0</v>
      </c>
      <c r="M279" s="3091">
        <f ca="1">IF(AND(LEN(K279)&gt;0,LEN(L279)&gt;0),ROUND(SUM(K279)-SUM(L279),2),"")</f>
        <v>0</v>
      </c>
      <c r="N279" s="3070" t="str">
        <f ca="1">IF(ISNA(M279),"N/A",IF(M279=0,"√","？"))</f>
        <v>√</v>
      </c>
      <c r="O279" s="3097"/>
      <c r="P279" s="3098"/>
      <c r="Q279" s="3098"/>
      <c r="R279" s="3098"/>
      <c r="S279" s="3099" t="s">
        <v>295</v>
      </c>
      <c r="T279" s="3099" t="s">
        <v>213</v>
      </c>
      <c r="U279" s="3100"/>
      <c r="V279" s="3100" t="s">
        <v>295</v>
      </c>
      <c r="W279" s="3100" t="s">
        <v>6797</v>
      </c>
      <c r="X279" s="3100" t="s">
        <v>6798</v>
      </c>
      <c r="Y279" s="3101" t="s">
        <v>164</v>
      </c>
    </row>
    <row r="280" spans="1:25" ht="24" hidden="1">
      <c r="A280" s="1304"/>
      <c r="B280" s="643">
        <v>2401</v>
      </c>
      <c r="C280" s="643" t="s">
        <v>1756</v>
      </c>
      <c r="D280" s="3085">
        <v>2</v>
      </c>
      <c r="E280" s="3086" t="str">
        <f t="shared" si="37"/>
        <v>递延收益</v>
      </c>
      <c r="F280" s="3087" t="s">
        <v>1757</v>
      </c>
      <c r="G280" s="3088">
        <f t="shared" si="38"/>
        <v>0</v>
      </c>
      <c r="H280" s="3089" t="s">
        <v>6799</v>
      </c>
      <c r="I280" s="3091" t="s">
        <v>6803</v>
      </c>
      <c r="J280" s="3070"/>
      <c r="K280" s="3088">
        <f t="shared" si="31"/>
        <v>0</v>
      </c>
      <c r="L280" s="3069" t="s">
        <v>6799</v>
      </c>
      <c r="M280" s="3091" t="s">
        <v>6803</v>
      </c>
      <c r="N280" s="3070"/>
      <c r="O280" s="3097"/>
      <c r="P280" s="3098"/>
      <c r="Q280" s="3098"/>
      <c r="R280" s="3098"/>
      <c r="S280" s="3099" t="s">
        <v>295</v>
      </c>
      <c r="T280" s="3099" t="s">
        <v>213</v>
      </c>
      <c r="U280" s="3100"/>
      <c r="V280" s="3100" t="s">
        <v>295</v>
      </c>
      <c r="W280" s="3100" t="s">
        <v>6797</v>
      </c>
      <c r="X280" s="3100" t="s">
        <v>6798</v>
      </c>
      <c r="Y280" s="3101" t="s">
        <v>164</v>
      </c>
    </row>
    <row r="281" spans="1:25" ht="24">
      <c r="A281" s="1304"/>
      <c r="B281" s="643">
        <v>2996</v>
      </c>
      <c r="C281" s="643" t="s">
        <v>1761</v>
      </c>
      <c r="D281" s="3085">
        <v>1</v>
      </c>
      <c r="E281" s="3086" t="str">
        <f t="shared" si="37"/>
        <v>其他非流动负债</v>
      </c>
      <c r="F281" s="3087" t="s">
        <v>1762</v>
      </c>
      <c r="G281" s="3088">
        <f t="shared" si="38"/>
        <v>0</v>
      </c>
      <c r="H281" s="3089">
        <f ca="1">INDIRECT("Notes!CheckA"&amp;$C281)</f>
        <v>0</v>
      </c>
      <c r="I281" s="3091">
        <f ca="1">IF(AND(LEN(G281)&gt;0,LEN(H281)&gt;0),ROUND(SUM(G281)-SUM(H281),2),"")</f>
        <v>0</v>
      </c>
      <c r="J281" s="3070" t="str">
        <f ca="1">IF(ISNA(I281),"N/A",IF(I281=0,"√","？"))</f>
        <v>√</v>
      </c>
      <c r="K281" s="3088">
        <f t="shared" si="31"/>
        <v>0</v>
      </c>
      <c r="L281" s="3069">
        <f ca="1">INDIRECT("Notes!CheckB"&amp;$C281)</f>
        <v>0</v>
      </c>
      <c r="M281" s="3091">
        <f ca="1">IF(AND(LEN(K281)&gt;0,LEN(L281)&gt;0),ROUND(SUM(K281)-SUM(L281),2),"")</f>
        <v>0</v>
      </c>
      <c r="N281" s="3070" t="str">
        <f ca="1">IF(ISNA(M281),"N/A",IF(M281=0,"√","？"))</f>
        <v>√</v>
      </c>
      <c r="O281" s="3097"/>
      <c r="P281" s="3098"/>
      <c r="Q281" s="3098"/>
      <c r="R281" s="3098"/>
      <c r="S281" s="3099" t="s">
        <v>295</v>
      </c>
      <c r="T281" s="3099" t="s">
        <v>213</v>
      </c>
      <c r="U281" s="3100"/>
      <c r="V281" s="3100" t="s">
        <v>295</v>
      </c>
      <c r="W281" s="3100" t="s">
        <v>6797</v>
      </c>
      <c r="X281" s="3100" t="s">
        <v>6798</v>
      </c>
      <c r="Y281" s="3101" t="s">
        <v>164</v>
      </c>
    </row>
    <row r="282" spans="1:25" ht="24" hidden="1">
      <c r="A282" s="1304"/>
      <c r="B282" s="643">
        <v>2996</v>
      </c>
      <c r="C282" s="643" t="s">
        <v>1766</v>
      </c>
      <c r="D282" s="3085">
        <v>2</v>
      </c>
      <c r="E282" s="3086" t="str">
        <f t="shared" si="37"/>
        <v>其他非流动负债</v>
      </c>
      <c r="F282" s="3087" t="s">
        <v>1767</v>
      </c>
      <c r="G282" s="3088">
        <f t="shared" si="38"/>
        <v>0</v>
      </c>
      <c r="H282" s="3089">
        <f ca="1">INDIRECT("Notes!CheckA"&amp;$C282)</f>
        <v>0</v>
      </c>
      <c r="I282" s="3091" t="s">
        <v>6803</v>
      </c>
      <c r="J282" s="3070"/>
      <c r="K282" s="3088">
        <f t="shared" si="31"/>
        <v>0</v>
      </c>
      <c r="L282" s="3069">
        <f ca="1">INDIRECT("Notes!CheckB"&amp;$C282)</f>
        <v>0</v>
      </c>
      <c r="M282" s="3091" t="s">
        <v>6803</v>
      </c>
      <c r="N282" s="3070"/>
      <c r="O282" s="3097"/>
      <c r="P282" s="3098"/>
      <c r="Q282" s="3098"/>
      <c r="R282" s="3098"/>
      <c r="S282" s="3099" t="s">
        <v>295</v>
      </c>
      <c r="T282" s="3099" t="s">
        <v>213</v>
      </c>
      <c r="U282" s="3100"/>
      <c r="V282" s="3100" t="s">
        <v>295</v>
      </c>
      <c r="W282" s="3100" t="s">
        <v>6797</v>
      </c>
      <c r="X282" s="3100" t="s">
        <v>213</v>
      </c>
      <c r="Y282" s="3101" t="s">
        <v>164</v>
      </c>
    </row>
    <row r="283" spans="1:25" ht="18" hidden="1">
      <c r="A283" s="1304"/>
      <c r="B283" s="643">
        <v>4001</v>
      </c>
      <c r="C283" s="643" t="s">
        <v>1774</v>
      </c>
      <c r="D283" s="3085">
        <v>2</v>
      </c>
      <c r="E283" s="3086" t="str">
        <f t="shared" si="37"/>
        <v>实收资本</v>
      </c>
      <c r="F283" s="3087" t="s">
        <v>1775</v>
      </c>
      <c r="G283" s="3088">
        <f t="shared" si="38"/>
        <v>0</v>
      </c>
      <c r="H283" s="3089" t="s">
        <v>6799</v>
      </c>
      <c r="I283" s="3091" t="s">
        <v>6803</v>
      </c>
      <c r="J283" s="3070"/>
      <c r="K283" s="3088">
        <f t="shared" si="31"/>
        <v>1000000</v>
      </c>
      <c r="L283" s="3069" t="s">
        <v>6799</v>
      </c>
      <c r="M283" s="3091" t="s">
        <v>6803</v>
      </c>
      <c r="N283" s="3070"/>
      <c r="O283" s="3097"/>
      <c r="P283" s="3098"/>
      <c r="Q283" s="3098"/>
      <c r="R283" s="3098"/>
      <c r="S283" s="3099" t="s">
        <v>295</v>
      </c>
      <c r="T283" s="3099" t="s">
        <v>213</v>
      </c>
      <c r="U283" s="3100"/>
      <c r="V283" s="3100" t="s">
        <v>295</v>
      </c>
      <c r="W283" s="3100" t="s">
        <v>6797</v>
      </c>
      <c r="X283" s="3100" t="s">
        <v>6800</v>
      </c>
      <c r="Y283" s="3101" t="s">
        <v>164</v>
      </c>
    </row>
    <row r="284" spans="1:25" ht="18">
      <c r="A284" s="1304"/>
      <c r="B284" s="643">
        <v>4001</v>
      </c>
      <c r="C284" s="643" t="s">
        <v>1780</v>
      </c>
      <c r="D284" s="3085">
        <v>1</v>
      </c>
      <c r="E284" s="3086" t="str">
        <f t="shared" si="37"/>
        <v>实收资本</v>
      </c>
      <c r="F284" s="3087" t="s">
        <v>1781</v>
      </c>
      <c r="G284" s="3088">
        <f t="shared" si="38"/>
        <v>0</v>
      </c>
      <c r="H284" s="3089">
        <f t="shared" ref="H284:H300" ca="1" si="39">INDIRECT("Notes!CheckA"&amp;$C284)</f>
        <v>0</v>
      </c>
      <c r="I284" s="3091">
        <f ca="1">IF(AND(LEN(G284)&gt;0,LEN(H284)&gt;0),ROUND(SUM(G284)-SUM(H284),2),"")</f>
        <v>0</v>
      </c>
      <c r="J284" s="3070" t="str">
        <f ca="1">IF(ISNA(I284),"N/A",IF(I284=0,"√","？"))</f>
        <v>√</v>
      </c>
      <c r="K284" s="3088">
        <f t="shared" si="31"/>
        <v>1000000</v>
      </c>
      <c r="L284" s="3069">
        <f ca="1">INDIRECT("Notes!CheckB"&amp;$C284)</f>
        <v>0</v>
      </c>
      <c r="M284" s="3091">
        <f ca="1">IF(AND(LEN(K284)&gt;0,LEN(L284)&gt;0),ROUND(SUM(K284)-SUM(L284),2),"")</f>
        <v>1000000</v>
      </c>
      <c r="N284" s="3070" t="str">
        <f ca="1">IF(ISNA(M284),"N/A",IF(M284=0,"√","？"))</f>
        <v>？</v>
      </c>
      <c r="O284" s="3097"/>
      <c r="P284" s="3098"/>
      <c r="Q284" s="3098"/>
      <c r="R284" s="3098"/>
      <c r="S284" s="3099" t="s">
        <v>295</v>
      </c>
      <c r="T284" s="3099" t="s">
        <v>213</v>
      </c>
      <c r="U284" s="3100"/>
      <c r="V284" s="3100" t="s">
        <v>295</v>
      </c>
      <c r="W284" s="3100" t="s">
        <v>6797</v>
      </c>
      <c r="X284" s="3100" t="s">
        <v>6801</v>
      </c>
      <c r="Y284" s="3101" t="s">
        <v>164</v>
      </c>
    </row>
    <row r="285" spans="1:25" ht="36" hidden="1">
      <c r="A285" s="1304"/>
      <c r="B285" s="643">
        <v>4015</v>
      </c>
      <c r="C285" s="643" t="s">
        <v>1790</v>
      </c>
      <c r="D285" s="3085">
        <v>2</v>
      </c>
      <c r="E285" s="3086" t="str">
        <f t="shared" si="37"/>
        <v>其他权益工具</v>
      </c>
      <c r="F285" s="3087" t="s">
        <v>1791</v>
      </c>
      <c r="G285" s="3088">
        <f t="shared" si="38"/>
        <v>0</v>
      </c>
      <c r="H285" s="3089">
        <f t="shared" ca="1" si="39"/>
        <v>0</v>
      </c>
      <c r="I285" s="3091" t="s">
        <v>6803</v>
      </c>
      <c r="J285" s="3070"/>
      <c r="K285" s="3088">
        <f t="shared" si="31"/>
        <v>0</v>
      </c>
      <c r="L285" s="3069" t="s">
        <v>6799</v>
      </c>
      <c r="M285" s="3091" t="s">
        <v>6803</v>
      </c>
      <c r="N285" s="3070"/>
      <c r="O285" s="3097"/>
      <c r="P285" s="3098"/>
      <c r="Q285" s="3098"/>
      <c r="R285" s="3098"/>
      <c r="S285" s="3099" t="s">
        <v>295</v>
      </c>
      <c r="T285" s="3099" t="s">
        <v>213</v>
      </c>
      <c r="U285" s="3100"/>
      <c r="V285" s="3100" t="s">
        <v>295</v>
      </c>
      <c r="W285" s="3100" t="s">
        <v>6797</v>
      </c>
      <c r="X285" s="3100" t="s">
        <v>6800</v>
      </c>
      <c r="Y285" s="3101" t="s">
        <v>164</v>
      </c>
    </row>
    <row r="286" spans="1:25" ht="36">
      <c r="A286" s="1304"/>
      <c r="B286" s="643">
        <v>4015</v>
      </c>
      <c r="C286" s="643" t="s">
        <v>1795</v>
      </c>
      <c r="D286" s="3085">
        <v>1</v>
      </c>
      <c r="E286" s="3086" t="str">
        <f t="shared" si="37"/>
        <v>其他权益工具</v>
      </c>
      <c r="F286" s="3087" t="s">
        <v>1796</v>
      </c>
      <c r="G286" s="3088">
        <f t="shared" si="38"/>
        <v>0</v>
      </c>
      <c r="H286" s="3089">
        <f t="shared" ca="1" si="39"/>
        <v>0</v>
      </c>
      <c r="I286" s="3091">
        <f t="shared" ref="I286:I293" ca="1" si="40">IF(AND(LEN(G286)&gt;0,LEN(H286)&gt;0),ROUND(SUM(G286)-SUM(H286),2),"")</f>
        <v>0</v>
      </c>
      <c r="J286" s="3070" t="str">
        <f t="shared" ref="J286:J293" ca="1" si="41">IF(ISNA(I286),"N/A",IF(I286=0,"√","？"))</f>
        <v>√</v>
      </c>
      <c r="K286" s="3088">
        <f t="shared" si="31"/>
        <v>0</v>
      </c>
      <c r="L286" s="3069">
        <f t="shared" ref="L286:L293" ca="1" si="42">INDIRECT("Notes!CheckB"&amp;$C286)</f>
        <v>0</v>
      </c>
      <c r="M286" s="3091">
        <f t="shared" ref="M286:M293" ca="1" si="43">IF(AND(LEN(K286)&gt;0,LEN(L286)&gt;0),ROUND(SUM(K286)-SUM(L286),2),"")</f>
        <v>0</v>
      </c>
      <c r="N286" s="3070" t="str">
        <f t="shared" ref="N286:N293" ca="1" si="44">IF(ISNA(M286),"N/A",IF(M286=0,"√","？"))</f>
        <v>√</v>
      </c>
      <c r="O286" s="3097"/>
      <c r="P286" s="3098"/>
      <c r="Q286" s="3098"/>
      <c r="R286" s="3098"/>
      <c r="S286" s="3099" t="s">
        <v>295</v>
      </c>
      <c r="T286" s="3099" t="s">
        <v>213</v>
      </c>
      <c r="U286" s="3100"/>
      <c r="V286" s="3100" t="s">
        <v>295</v>
      </c>
      <c r="W286" s="3100" t="s">
        <v>6797</v>
      </c>
      <c r="X286" s="3100" t="s">
        <v>6798</v>
      </c>
      <c r="Y286" s="3101" t="s">
        <v>164</v>
      </c>
    </row>
    <row r="287" spans="1:25" ht="18">
      <c r="A287" s="1304"/>
      <c r="B287" s="643">
        <v>4002</v>
      </c>
      <c r="C287" s="643" t="s">
        <v>1785</v>
      </c>
      <c r="D287" s="3085">
        <v>1</v>
      </c>
      <c r="E287" s="3086" t="str">
        <f t="shared" si="37"/>
        <v>资本公积</v>
      </c>
      <c r="F287" s="3087" t="s">
        <v>1786</v>
      </c>
      <c r="G287" s="3088">
        <f t="shared" si="38"/>
        <v>0</v>
      </c>
      <c r="H287" s="3089">
        <f t="shared" ca="1" si="39"/>
        <v>0</v>
      </c>
      <c r="I287" s="3091">
        <f t="shared" ca="1" si="40"/>
        <v>0</v>
      </c>
      <c r="J287" s="3070" t="str">
        <f t="shared" ca="1" si="41"/>
        <v>√</v>
      </c>
      <c r="K287" s="3088">
        <f t="shared" ref="K287:K350" si="45">IF(ISERROR(VLOOKUP($B287,Sheet_Trialbal,10,0)),"        ----",VLOOKUP($B287,Sheet_Trialbal,10,0))</f>
        <v>0</v>
      </c>
      <c r="L287" s="3069">
        <f t="shared" ca="1" si="42"/>
        <v>0</v>
      </c>
      <c r="M287" s="3091">
        <f t="shared" ca="1" si="43"/>
        <v>0</v>
      </c>
      <c r="N287" s="3070" t="str">
        <f t="shared" ca="1" si="44"/>
        <v>√</v>
      </c>
      <c r="O287" s="3097"/>
      <c r="P287" s="3098"/>
      <c r="Q287" s="3098"/>
      <c r="R287" s="3098"/>
      <c r="S287" s="3099" t="s">
        <v>295</v>
      </c>
      <c r="T287" s="3099" t="s">
        <v>213</v>
      </c>
      <c r="U287" s="3100"/>
      <c r="V287" s="3100" t="s">
        <v>295</v>
      </c>
      <c r="W287" s="3100" t="s">
        <v>6797</v>
      </c>
      <c r="X287" s="3100" t="s">
        <v>6798</v>
      </c>
      <c r="Y287" s="3101" t="s">
        <v>164</v>
      </c>
    </row>
    <row r="288" spans="1:25" ht="18">
      <c r="A288" s="1304"/>
      <c r="B288" s="643">
        <v>4201</v>
      </c>
      <c r="C288" s="643" t="s">
        <v>1828</v>
      </c>
      <c r="D288" s="3085">
        <v>1</v>
      </c>
      <c r="E288" s="3086" t="str">
        <f t="shared" si="37"/>
        <v>库存股</v>
      </c>
      <c r="F288" s="3087" t="s">
        <v>1829</v>
      </c>
      <c r="G288" s="3088">
        <f t="shared" si="38"/>
        <v>0</v>
      </c>
      <c r="H288" s="3089">
        <f t="shared" ca="1" si="39"/>
        <v>0</v>
      </c>
      <c r="I288" s="3091">
        <f t="shared" ca="1" si="40"/>
        <v>0</v>
      </c>
      <c r="J288" s="3070" t="str">
        <f t="shared" ca="1" si="41"/>
        <v>√</v>
      </c>
      <c r="K288" s="3088">
        <f t="shared" si="45"/>
        <v>0</v>
      </c>
      <c r="L288" s="3069">
        <f t="shared" ca="1" si="42"/>
        <v>0</v>
      </c>
      <c r="M288" s="3091">
        <f t="shared" ca="1" si="43"/>
        <v>0</v>
      </c>
      <c r="N288" s="3070" t="str">
        <f t="shared" ca="1" si="44"/>
        <v>√</v>
      </c>
      <c r="O288" s="3097"/>
      <c r="P288" s="3098"/>
      <c r="Q288" s="3098"/>
      <c r="R288" s="3098"/>
      <c r="S288" s="3099" t="s">
        <v>295</v>
      </c>
      <c r="T288" s="3099" t="s">
        <v>213</v>
      </c>
      <c r="U288" s="3100"/>
      <c r="V288" s="3100" t="s">
        <v>295</v>
      </c>
      <c r="W288" s="3100" t="s">
        <v>6797</v>
      </c>
      <c r="X288" s="3100" t="s">
        <v>6798</v>
      </c>
      <c r="Y288" s="3101" t="s">
        <v>164</v>
      </c>
    </row>
    <row r="289" spans="1:25" ht="18">
      <c r="A289" s="1304"/>
      <c r="B289" s="643">
        <v>4215</v>
      </c>
      <c r="C289" s="643" t="s">
        <v>1831</v>
      </c>
      <c r="D289" s="3085">
        <v>1</v>
      </c>
      <c r="E289" s="3086" t="str">
        <f t="shared" si="37"/>
        <v>其他综合收益</v>
      </c>
      <c r="F289" s="3087" t="s">
        <v>1832</v>
      </c>
      <c r="G289" s="3088">
        <f t="shared" si="38"/>
        <v>0</v>
      </c>
      <c r="H289" s="3089">
        <f t="shared" ca="1" si="39"/>
        <v>0</v>
      </c>
      <c r="I289" s="3091">
        <f t="shared" ca="1" si="40"/>
        <v>0</v>
      </c>
      <c r="J289" s="3070" t="str">
        <f t="shared" ca="1" si="41"/>
        <v>√</v>
      </c>
      <c r="K289" s="3088">
        <f t="shared" si="45"/>
        <v>0</v>
      </c>
      <c r="L289" s="3069">
        <f t="shared" ca="1" si="42"/>
        <v>0</v>
      </c>
      <c r="M289" s="3091">
        <f t="shared" ca="1" si="43"/>
        <v>0</v>
      </c>
      <c r="N289" s="3070" t="str">
        <f t="shared" ca="1" si="44"/>
        <v>√</v>
      </c>
      <c r="O289" s="3097"/>
      <c r="P289" s="3098"/>
      <c r="Q289" s="3098"/>
      <c r="R289" s="3098"/>
      <c r="S289" s="3099" t="s">
        <v>295</v>
      </c>
      <c r="T289" s="3099" t="s">
        <v>213</v>
      </c>
      <c r="U289" s="3100"/>
      <c r="V289" s="3100" t="s">
        <v>295</v>
      </c>
      <c r="W289" s="3100" t="s">
        <v>145</v>
      </c>
      <c r="X289" s="3100" t="s">
        <v>6800</v>
      </c>
      <c r="Y289" s="3101" t="s">
        <v>119</v>
      </c>
    </row>
    <row r="290" spans="1:25" ht="18">
      <c r="A290" s="1304"/>
      <c r="B290" s="643">
        <v>4301</v>
      </c>
      <c r="C290" s="643" t="s">
        <v>1837</v>
      </c>
      <c r="D290" s="3085">
        <v>1</v>
      </c>
      <c r="E290" s="3086" t="str">
        <f t="shared" si="37"/>
        <v>专项储备</v>
      </c>
      <c r="F290" s="3087" t="s">
        <v>1838</v>
      </c>
      <c r="G290" s="3088">
        <f t="shared" si="38"/>
        <v>0</v>
      </c>
      <c r="H290" s="3089">
        <f t="shared" ca="1" si="39"/>
        <v>0</v>
      </c>
      <c r="I290" s="3091">
        <f t="shared" ca="1" si="40"/>
        <v>0</v>
      </c>
      <c r="J290" s="3070" t="str">
        <f t="shared" ca="1" si="41"/>
        <v>√</v>
      </c>
      <c r="K290" s="3088">
        <f t="shared" si="45"/>
        <v>0</v>
      </c>
      <c r="L290" s="3069">
        <f t="shared" ca="1" si="42"/>
        <v>0</v>
      </c>
      <c r="M290" s="3091">
        <f t="shared" ca="1" si="43"/>
        <v>0</v>
      </c>
      <c r="N290" s="3070" t="str">
        <f t="shared" ca="1" si="44"/>
        <v>√</v>
      </c>
      <c r="O290" s="3097"/>
      <c r="P290" s="3098"/>
      <c r="Q290" s="3098"/>
      <c r="R290" s="3098"/>
      <c r="S290" s="3099" t="s">
        <v>295</v>
      </c>
      <c r="T290" s="3099" t="s">
        <v>213</v>
      </c>
      <c r="U290" s="3100"/>
      <c r="V290" s="3100" t="s">
        <v>295</v>
      </c>
      <c r="W290" s="3100" t="s">
        <v>6797</v>
      </c>
      <c r="X290" s="3100" t="s">
        <v>6798</v>
      </c>
      <c r="Y290" s="3101" t="s">
        <v>164</v>
      </c>
    </row>
    <row r="291" spans="1:25" ht="18">
      <c r="A291" s="1304"/>
      <c r="B291" s="643">
        <v>4101</v>
      </c>
      <c r="C291" s="643" t="s">
        <v>1805</v>
      </c>
      <c r="D291" s="3085">
        <v>1</v>
      </c>
      <c r="E291" s="3086" t="str">
        <f t="shared" si="37"/>
        <v>盈余公积</v>
      </c>
      <c r="F291" s="3087" t="s">
        <v>1806</v>
      </c>
      <c r="G291" s="3088">
        <f t="shared" si="38"/>
        <v>0</v>
      </c>
      <c r="H291" s="3089">
        <f t="shared" ca="1" si="39"/>
        <v>0</v>
      </c>
      <c r="I291" s="3091">
        <f t="shared" ca="1" si="40"/>
        <v>0</v>
      </c>
      <c r="J291" s="3070" t="str">
        <f t="shared" ca="1" si="41"/>
        <v>√</v>
      </c>
      <c r="K291" s="3088">
        <f t="shared" si="45"/>
        <v>0</v>
      </c>
      <c r="L291" s="3069">
        <f t="shared" ca="1" si="42"/>
        <v>0</v>
      </c>
      <c r="M291" s="3091">
        <f t="shared" ca="1" si="43"/>
        <v>0</v>
      </c>
      <c r="N291" s="3070" t="str">
        <f t="shared" ca="1" si="44"/>
        <v>√</v>
      </c>
      <c r="O291" s="3097"/>
      <c r="P291" s="3098"/>
      <c r="Q291" s="3098"/>
      <c r="R291" s="3098"/>
      <c r="S291" s="3099" t="s">
        <v>295</v>
      </c>
      <c r="T291" s="3099" t="s">
        <v>213</v>
      </c>
      <c r="U291" s="3100"/>
      <c r="V291" s="3100" t="s">
        <v>295</v>
      </c>
      <c r="W291" s="3100" t="s">
        <v>145</v>
      </c>
      <c r="X291" s="3100" t="s">
        <v>6800</v>
      </c>
      <c r="Y291" s="3101" t="s">
        <v>119</v>
      </c>
    </row>
    <row r="292" spans="1:25" ht="18">
      <c r="A292" s="1304"/>
      <c r="B292" s="643">
        <v>4102</v>
      </c>
      <c r="C292" s="643" t="s">
        <v>1815</v>
      </c>
      <c r="D292" s="3085">
        <v>1</v>
      </c>
      <c r="E292" s="3086" t="str">
        <f t="shared" si="37"/>
        <v>一般风险准备</v>
      </c>
      <c r="F292" s="3087" t="s">
        <v>1816</v>
      </c>
      <c r="G292" s="3088">
        <f t="shared" si="38"/>
        <v>0</v>
      </c>
      <c r="H292" s="3089">
        <f t="shared" ca="1" si="39"/>
        <v>0</v>
      </c>
      <c r="I292" s="3091">
        <f t="shared" ca="1" si="40"/>
        <v>0</v>
      </c>
      <c r="J292" s="3070" t="str">
        <f t="shared" ca="1" si="41"/>
        <v>√</v>
      </c>
      <c r="K292" s="3088">
        <f t="shared" si="45"/>
        <v>0</v>
      </c>
      <c r="L292" s="3069">
        <f t="shared" ca="1" si="42"/>
        <v>0</v>
      </c>
      <c r="M292" s="3091">
        <f t="shared" ca="1" si="43"/>
        <v>0</v>
      </c>
      <c r="N292" s="3070" t="str">
        <f t="shared" ca="1" si="44"/>
        <v>√</v>
      </c>
      <c r="O292" s="3097"/>
      <c r="P292" s="3098"/>
      <c r="Q292" s="3098"/>
      <c r="R292" s="3098"/>
      <c r="S292" s="3099" t="s">
        <v>295</v>
      </c>
      <c r="T292" s="3099" t="s">
        <v>213</v>
      </c>
      <c r="U292" s="3100"/>
      <c r="V292" s="3100" t="s">
        <v>295</v>
      </c>
      <c r="W292" s="3100" t="s">
        <v>6797</v>
      </c>
      <c r="X292" s="3100" t="s">
        <v>213</v>
      </c>
      <c r="Y292" s="3101" t="s">
        <v>164</v>
      </c>
    </row>
    <row r="293" spans="1:25" ht="24">
      <c r="A293" s="1304"/>
      <c r="B293" s="643">
        <v>4200</v>
      </c>
      <c r="C293" s="643" t="s">
        <v>1820</v>
      </c>
      <c r="D293" s="3085">
        <v>1</v>
      </c>
      <c r="E293" s="3086" t="str">
        <f t="shared" si="37"/>
        <v>未分配利润</v>
      </c>
      <c r="F293" s="3087" t="s">
        <v>1821</v>
      </c>
      <c r="G293" s="3088">
        <f t="shared" si="38"/>
        <v>1747379.72</v>
      </c>
      <c r="H293" s="3089">
        <f t="shared" ca="1" si="39"/>
        <v>1747379.72</v>
      </c>
      <c r="I293" s="3091">
        <f t="shared" ca="1" si="40"/>
        <v>0</v>
      </c>
      <c r="J293" s="3070" t="str">
        <f t="shared" ca="1" si="41"/>
        <v>√</v>
      </c>
      <c r="K293" s="3088">
        <f t="shared" si="45"/>
        <v>-2433969.27</v>
      </c>
      <c r="L293" s="3069">
        <f t="shared" ca="1" si="42"/>
        <v>5463681.9299999997</v>
      </c>
      <c r="M293" s="3091">
        <f t="shared" ca="1" si="43"/>
        <v>-7897651.2000000002</v>
      </c>
      <c r="N293" s="3070" t="str">
        <f t="shared" ca="1" si="44"/>
        <v>？</v>
      </c>
      <c r="O293" s="3097"/>
      <c r="P293" s="3098"/>
      <c r="Q293" s="3098"/>
      <c r="R293" s="3098"/>
      <c r="S293" s="3099" t="s">
        <v>295</v>
      </c>
      <c r="T293" s="3099" t="s">
        <v>213</v>
      </c>
      <c r="U293" s="3100"/>
      <c r="V293" s="3100" t="s">
        <v>295</v>
      </c>
      <c r="W293" s="3100" t="s">
        <v>6797</v>
      </c>
      <c r="X293" s="3100" t="s">
        <v>6798</v>
      </c>
      <c r="Y293" s="3101" t="s">
        <v>164</v>
      </c>
    </row>
    <row r="294" spans="1:25" ht="24" hidden="1">
      <c r="A294" s="1304"/>
      <c r="B294" s="643">
        <v>4200</v>
      </c>
      <c r="C294" s="643" t="s">
        <v>1824</v>
      </c>
      <c r="D294" s="3085">
        <v>2</v>
      </c>
      <c r="E294" s="3086" t="str">
        <f t="shared" si="37"/>
        <v>未分配利润</v>
      </c>
      <c r="F294" s="3087" t="s">
        <v>1825</v>
      </c>
      <c r="G294" s="3088">
        <f t="shared" si="38"/>
        <v>1747379.72</v>
      </c>
      <c r="H294" s="3089">
        <f t="shared" ca="1" si="39"/>
        <v>0</v>
      </c>
      <c r="I294" s="3091" t="s">
        <v>6803</v>
      </c>
      <c r="J294" s="3070"/>
      <c r="K294" s="3088">
        <f t="shared" si="45"/>
        <v>-2433969.27</v>
      </c>
      <c r="L294" s="3069" t="s">
        <v>6799</v>
      </c>
      <c r="M294" s="3091" t="s">
        <v>6803</v>
      </c>
      <c r="N294" s="3070"/>
      <c r="O294" s="3097"/>
      <c r="P294" s="3098"/>
      <c r="Q294" s="3098"/>
      <c r="R294" s="3098"/>
      <c r="S294" s="3099" t="s">
        <v>295</v>
      </c>
      <c r="T294" s="3099" t="s">
        <v>213</v>
      </c>
      <c r="U294" s="3100"/>
      <c r="V294" s="3100" t="s">
        <v>295</v>
      </c>
      <c r="W294" s="3100" t="s">
        <v>6797</v>
      </c>
      <c r="X294" s="3100" t="s">
        <v>213</v>
      </c>
      <c r="Y294" s="3101" t="s">
        <v>164</v>
      </c>
    </row>
    <row r="295" spans="1:25" ht="24" hidden="1">
      <c r="A295" s="1304"/>
      <c r="B295" s="643"/>
      <c r="C295" s="643" t="s">
        <v>1844</v>
      </c>
      <c r="D295" s="3085">
        <v>3</v>
      </c>
      <c r="E295" s="3086" t="str">
        <f t="shared" si="37"/>
        <v xml:space="preserve">        ----</v>
      </c>
      <c r="F295" s="3087" t="s">
        <v>1845</v>
      </c>
      <c r="G295" s="3088" t="str">
        <f t="shared" si="38"/>
        <v xml:space="preserve">        ----</v>
      </c>
      <c r="H295" s="3089">
        <f t="shared" ca="1" si="39"/>
        <v>2189820.39</v>
      </c>
      <c r="I295" s="3091" t="s">
        <v>6803</v>
      </c>
      <c r="J295" s="3070"/>
      <c r="K295" s="3088" t="str">
        <f t="shared" si="45"/>
        <v xml:space="preserve">        ----</v>
      </c>
      <c r="L295" s="3069">
        <f t="shared" ref="L295:L300" ca="1" si="46">INDIRECT("Notes!CheckB"&amp;$C295)</f>
        <v>1009661.4</v>
      </c>
      <c r="M295" s="3091" t="s">
        <v>6803</v>
      </c>
      <c r="N295" s="3070"/>
      <c r="O295" s="3097"/>
      <c r="P295" s="3098"/>
      <c r="Q295" s="3098"/>
      <c r="R295" s="3098"/>
      <c r="S295" s="3099" t="s">
        <v>295</v>
      </c>
      <c r="T295" s="3099" t="s">
        <v>213</v>
      </c>
      <c r="U295" s="3100"/>
      <c r="V295" s="3100" t="s">
        <v>295</v>
      </c>
      <c r="W295" s="3100" t="s">
        <v>6797</v>
      </c>
      <c r="X295" s="3100" t="s">
        <v>6798</v>
      </c>
      <c r="Y295" s="3101" t="s">
        <v>164</v>
      </c>
    </row>
    <row r="296" spans="1:25" ht="18">
      <c r="A296" s="1304"/>
      <c r="B296" s="643">
        <v>6001</v>
      </c>
      <c r="C296" s="643" t="s">
        <v>1848</v>
      </c>
      <c r="D296" s="3085">
        <v>1</v>
      </c>
      <c r="E296" s="3086" t="str">
        <f t="shared" si="37"/>
        <v>营业收入</v>
      </c>
      <c r="F296" s="3087" t="s">
        <v>1849</v>
      </c>
      <c r="G296" s="3088">
        <f t="shared" si="38"/>
        <v>2189820.39</v>
      </c>
      <c r="H296" s="3089">
        <f t="shared" ca="1" si="39"/>
        <v>2189820.39</v>
      </c>
      <c r="I296" s="3091">
        <f ca="1">IF(AND(LEN(G296)&gt;0,LEN(H296)&gt;0),ROUND(SUM(G296)-SUM(H296),2),"")</f>
        <v>0</v>
      </c>
      <c r="J296" s="3070" t="str">
        <f ca="1">IF(ISNA(I296),"N/A",IF(I296=0,"√","？"))</f>
        <v>√</v>
      </c>
      <c r="K296" s="3088">
        <f t="shared" si="45"/>
        <v>10519044.27</v>
      </c>
      <c r="L296" s="3069">
        <f t="shared" ca="1" si="46"/>
        <v>10519044.27</v>
      </c>
      <c r="M296" s="3091">
        <f ca="1">IF(AND(LEN(K296)&gt;0,LEN(L296)&gt;0),ROUND(SUM(K296)-SUM(L296),2),"")</f>
        <v>0</v>
      </c>
      <c r="N296" s="3070" t="str">
        <f ca="1">IF(ISNA(M296),"N/A",IF(M296=0,"√","？"))</f>
        <v>√</v>
      </c>
      <c r="O296" s="3097"/>
      <c r="P296" s="3098"/>
      <c r="Q296" s="3098"/>
      <c r="R296" s="3098"/>
      <c r="S296" s="3099" t="s">
        <v>295</v>
      </c>
      <c r="T296" s="3099" t="s">
        <v>213</v>
      </c>
      <c r="U296" s="3100"/>
      <c r="V296" s="3100" t="s">
        <v>295</v>
      </c>
      <c r="W296" s="3100" t="s">
        <v>6797</v>
      </c>
      <c r="X296" s="3100" t="s">
        <v>6798</v>
      </c>
      <c r="Y296" s="3101" t="s">
        <v>164</v>
      </c>
    </row>
    <row r="297" spans="1:25" ht="18">
      <c r="A297" s="1304"/>
      <c r="B297" s="643">
        <v>6401</v>
      </c>
      <c r="C297" s="643" t="s">
        <v>1851</v>
      </c>
      <c r="D297" s="3085">
        <v>1</v>
      </c>
      <c r="E297" s="3086" t="str">
        <f t="shared" si="37"/>
        <v>营业成本</v>
      </c>
      <c r="F297" s="3087" t="s">
        <v>1852</v>
      </c>
      <c r="G297" s="3088">
        <f t="shared" si="38"/>
        <v>1009661.4</v>
      </c>
      <c r="H297" s="3089">
        <f t="shared" ca="1" si="39"/>
        <v>1009661.4</v>
      </c>
      <c r="I297" s="3091">
        <f ca="1">IF(AND(LEN(G297)&gt;0,LEN(H297)&gt;0),ROUND(SUM(G297)-SUM(H297),2),"")</f>
        <v>0</v>
      </c>
      <c r="J297" s="3070" t="str">
        <f ca="1">IF(ISNA(I297),"N/A",IF(I297=0,"√","？"))</f>
        <v>√</v>
      </c>
      <c r="K297" s="3088">
        <f t="shared" si="45"/>
        <v>4316544.09</v>
      </c>
      <c r="L297" s="3069">
        <f t="shared" ca="1" si="46"/>
        <v>4316544.09</v>
      </c>
      <c r="M297" s="3091">
        <f ca="1">IF(AND(LEN(K297)&gt;0,LEN(L297)&gt;0),ROUND(SUM(K297)-SUM(L297),2),"")</f>
        <v>0</v>
      </c>
      <c r="N297" s="3070" t="str">
        <f ca="1">IF(ISNA(M297),"N/A",IF(M297=0,"√","？"))</f>
        <v>√</v>
      </c>
      <c r="O297" s="3097"/>
      <c r="P297" s="3098"/>
      <c r="Q297" s="3098"/>
      <c r="R297" s="3098"/>
      <c r="S297" s="3099" t="s">
        <v>295</v>
      </c>
      <c r="T297" s="3099" t="s">
        <v>213</v>
      </c>
      <c r="U297" s="3100"/>
      <c r="V297" s="3100" t="s">
        <v>295</v>
      </c>
      <c r="W297" s="3100" t="s">
        <v>6797</v>
      </c>
      <c r="X297" s="3100" t="s">
        <v>6798</v>
      </c>
      <c r="Y297" s="3101" t="s">
        <v>164</v>
      </c>
    </row>
    <row r="298" spans="1:25" ht="24" hidden="1">
      <c r="A298" s="1304"/>
      <c r="B298" s="643"/>
      <c r="C298" s="643" t="s">
        <v>1854</v>
      </c>
      <c r="D298" s="3085">
        <v>3</v>
      </c>
      <c r="E298" s="3086" t="str">
        <f t="shared" si="37"/>
        <v xml:space="preserve">        ----</v>
      </c>
      <c r="F298" s="3087" t="s">
        <v>1855</v>
      </c>
      <c r="G298" s="3088" t="str">
        <f t="shared" si="38"/>
        <v xml:space="preserve">        ----</v>
      </c>
      <c r="H298" s="3089">
        <f t="shared" ca="1" si="39"/>
        <v>1180158.99</v>
      </c>
      <c r="I298" s="3091" t="s">
        <v>6803</v>
      </c>
      <c r="J298" s="3070"/>
      <c r="K298" s="3088" t="str">
        <f t="shared" si="45"/>
        <v xml:space="preserve">        ----</v>
      </c>
      <c r="L298" s="3069">
        <f t="shared" ca="1" si="46"/>
        <v>6202500.1799999997</v>
      </c>
      <c r="M298" s="3091" t="s">
        <v>6803</v>
      </c>
      <c r="N298" s="3070"/>
      <c r="O298" s="3097"/>
      <c r="P298" s="3098"/>
      <c r="Q298" s="3098"/>
      <c r="R298" s="3098"/>
      <c r="S298" s="3099" t="s">
        <v>295</v>
      </c>
      <c r="T298" s="3099" t="s">
        <v>213</v>
      </c>
      <c r="U298" s="3100"/>
      <c r="V298" s="3100" t="s">
        <v>295</v>
      </c>
      <c r="W298" s="3100" t="s">
        <v>6797</v>
      </c>
      <c r="X298" s="3100" t="s">
        <v>6800</v>
      </c>
      <c r="Y298" s="3101" t="s">
        <v>164</v>
      </c>
    </row>
    <row r="299" spans="1:25" ht="18" hidden="1">
      <c r="A299" s="1304"/>
      <c r="B299" s="643"/>
      <c r="C299" s="643" t="s">
        <v>1859</v>
      </c>
      <c r="D299" s="3085">
        <v>3</v>
      </c>
      <c r="E299" s="3086" t="str">
        <f t="shared" si="37"/>
        <v xml:space="preserve">        ----</v>
      </c>
      <c r="F299" s="3087" t="s">
        <v>1860</v>
      </c>
      <c r="G299" s="3088" t="str">
        <f t="shared" si="38"/>
        <v xml:space="preserve">        ----</v>
      </c>
      <c r="H299" s="3089">
        <f t="shared" ca="1" si="39"/>
        <v>0</v>
      </c>
      <c r="I299" s="3091" t="s">
        <v>6803</v>
      </c>
      <c r="J299" s="3070"/>
      <c r="K299" s="3088" t="str">
        <f t="shared" si="45"/>
        <v xml:space="preserve">        ----</v>
      </c>
      <c r="L299" s="3069">
        <f t="shared" ca="1" si="46"/>
        <v>0</v>
      </c>
      <c r="M299" s="3091" t="s">
        <v>6803</v>
      </c>
      <c r="N299" s="3070"/>
      <c r="O299" s="3097"/>
      <c r="P299" s="3098"/>
      <c r="Q299" s="3098"/>
      <c r="R299" s="3098"/>
      <c r="S299" s="3099" t="s">
        <v>295</v>
      </c>
      <c r="T299" s="3099" t="s">
        <v>213</v>
      </c>
      <c r="U299" s="3100"/>
      <c r="V299" s="3100" t="s">
        <v>295</v>
      </c>
      <c r="W299" s="3100" t="s">
        <v>6797</v>
      </c>
      <c r="X299" s="3100" t="s">
        <v>6800</v>
      </c>
      <c r="Y299" s="3101" t="s">
        <v>164</v>
      </c>
    </row>
    <row r="300" spans="1:25" ht="18" hidden="1">
      <c r="A300" s="1304"/>
      <c r="B300" s="643"/>
      <c r="C300" s="643" t="s">
        <v>1863</v>
      </c>
      <c r="D300" s="3085">
        <v>3</v>
      </c>
      <c r="E300" s="3086" t="str">
        <f t="shared" si="37"/>
        <v xml:space="preserve">        ----</v>
      </c>
      <c r="F300" s="3087" t="s">
        <v>1864</v>
      </c>
      <c r="G300" s="3088" t="str">
        <f t="shared" si="38"/>
        <v xml:space="preserve">        ----</v>
      </c>
      <c r="H300" s="3089">
        <f t="shared" ca="1" si="39"/>
        <v>0</v>
      </c>
      <c r="I300" s="3091" t="s">
        <v>6803</v>
      </c>
      <c r="J300" s="3070"/>
      <c r="K300" s="3088" t="str">
        <f t="shared" si="45"/>
        <v xml:space="preserve">        ----</v>
      </c>
      <c r="L300" s="3069">
        <f t="shared" ca="1" si="46"/>
        <v>0</v>
      </c>
      <c r="M300" s="3091" t="s">
        <v>6803</v>
      </c>
      <c r="N300" s="3070"/>
      <c r="O300" s="3097"/>
      <c r="P300" s="3098"/>
      <c r="Q300" s="3098"/>
      <c r="R300" s="3098"/>
      <c r="S300" s="3099" t="s">
        <v>295</v>
      </c>
      <c r="T300" s="3099" t="s">
        <v>213</v>
      </c>
      <c r="U300" s="3100"/>
      <c r="V300" s="3100" t="s">
        <v>295</v>
      </c>
      <c r="W300" s="3100" t="s">
        <v>6797</v>
      </c>
      <c r="X300" s="3100" t="s">
        <v>6800</v>
      </c>
      <c r="Y300" s="3101" t="s">
        <v>164</v>
      </c>
    </row>
    <row r="301" spans="1:25" ht="18" hidden="1">
      <c r="A301" s="1304"/>
      <c r="B301" s="643">
        <v>6001</v>
      </c>
      <c r="C301" s="643" t="s">
        <v>1868</v>
      </c>
      <c r="D301" s="3085">
        <v>2</v>
      </c>
      <c r="E301" s="3086" t="str">
        <f t="shared" si="37"/>
        <v>营业收入</v>
      </c>
      <c r="F301" s="3087" t="s">
        <v>1869</v>
      </c>
      <c r="G301" s="3088">
        <f t="shared" si="38"/>
        <v>2189820.39</v>
      </c>
      <c r="H301" s="3089" t="s">
        <v>6799</v>
      </c>
      <c r="I301" s="3091" t="s">
        <v>6803</v>
      </c>
      <c r="J301" s="3070"/>
      <c r="K301" s="3088">
        <f t="shared" si="45"/>
        <v>10519044.27</v>
      </c>
      <c r="L301" s="3069" t="s">
        <v>6799</v>
      </c>
      <c r="M301" s="3091" t="s">
        <v>6803</v>
      </c>
      <c r="N301" s="3070"/>
      <c r="O301" s="3097"/>
      <c r="P301" s="3098"/>
      <c r="Q301" s="3098"/>
      <c r="R301" s="3098"/>
      <c r="S301" s="3099" t="s">
        <v>295</v>
      </c>
      <c r="T301" s="3099" t="s">
        <v>213</v>
      </c>
      <c r="U301" s="3100"/>
      <c r="V301" s="3100" t="s">
        <v>295</v>
      </c>
      <c r="W301" s="3100" t="s">
        <v>6797</v>
      </c>
      <c r="X301" s="3100" t="s">
        <v>213</v>
      </c>
      <c r="Y301" s="3101" t="s">
        <v>164</v>
      </c>
    </row>
    <row r="302" spans="1:25" ht="18" hidden="1">
      <c r="A302" s="1304"/>
      <c r="B302" s="643">
        <v>6401</v>
      </c>
      <c r="C302" s="643" t="s">
        <v>1872</v>
      </c>
      <c r="D302" s="3085">
        <v>2</v>
      </c>
      <c r="E302" s="3086" t="str">
        <f t="shared" si="37"/>
        <v>营业成本</v>
      </c>
      <c r="F302" s="3087" t="s">
        <v>1873</v>
      </c>
      <c r="G302" s="3088">
        <f t="shared" si="38"/>
        <v>1009661.4</v>
      </c>
      <c r="H302" s="3089" t="s">
        <v>6799</v>
      </c>
      <c r="I302" s="3091" t="s">
        <v>6803</v>
      </c>
      <c r="J302" s="3070"/>
      <c r="K302" s="3088">
        <f t="shared" si="45"/>
        <v>4316544.09</v>
      </c>
      <c r="L302" s="3069" t="s">
        <v>6799</v>
      </c>
      <c r="M302" s="3091" t="s">
        <v>6803</v>
      </c>
      <c r="N302" s="3070"/>
      <c r="O302" s="3097"/>
      <c r="P302" s="3098"/>
      <c r="Q302" s="3098"/>
      <c r="R302" s="3098"/>
      <c r="S302" s="3099" t="s">
        <v>295</v>
      </c>
      <c r="T302" s="3099" t="s">
        <v>213</v>
      </c>
      <c r="U302" s="3100"/>
      <c r="V302" s="3100" t="s">
        <v>295</v>
      </c>
      <c r="W302" s="3100" t="s">
        <v>6797</v>
      </c>
      <c r="X302" s="3100" t="s">
        <v>213</v>
      </c>
      <c r="Y302" s="3101" t="s">
        <v>164</v>
      </c>
    </row>
    <row r="303" spans="1:25" ht="18" hidden="1">
      <c r="A303" s="1304"/>
      <c r="B303" s="643">
        <v>6001</v>
      </c>
      <c r="C303" s="643" t="s">
        <v>1840</v>
      </c>
      <c r="D303" s="3085">
        <v>2</v>
      </c>
      <c r="E303" s="3086" t="str">
        <f t="shared" si="37"/>
        <v>营业收入</v>
      </c>
      <c r="F303" s="3087" t="s">
        <v>1841</v>
      </c>
      <c r="G303" s="3088">
        <f t="shared" si="38"/>
        <v>2189820.39</v>
      </c>
      <c r="H303" s="3089">
        <f t="shared" ref="H303:H346" ca="1" si="47">INDIRECT("Notes!CheckA"&amp;$C303)</f>
        <v>0</v>
      </c>
      <c r="I303" s="3091" t="s">
        <v>6803</v>
      </c>
      <c r="J303" s="3070"/>
      <c r="K303" s="3088">
        <f t="shared" si="45"/>
        <v>10519044.27</v>
      </c>
      <c r="L303" s="3069">
        <f t="shared" ref="L303:L327" ca="1" si="48">INDIRECT("Notes!CheckB"&amp;$C303)</f>
        <v>0</v>
      </c>
      <c r="M303" s="3091" t="s">
        <v>6803</v>
      </c>
      <c r="N303" s="3070"/>
      <c r="O303" s="3097"/>
      <c r="P303" s="3098"/>
      <c r="Q303" s="3098"/>
      <c r="R303" s="3098"/>
      <c r="S303" s="3099" t="s">
        <v>295</v>
      </c>
      <c r="T303" s="3099" t="s">
        <v>213</v>
      </c>
      <c r="U303" s="3100"/>
      <c r="V303" s="3100" t="s">
        <v>295</v>
      </c>
      <c r="W303" s="3100" t="s">
        <v>6797</v>
      </c>
      <c r="X303" s="3100" t="s">
        <v>213</v>
      </c>
      <c r="Y303" s="3101" t="s">
        <v>164</v>
      </c>
    </row>
    <row r="304" spans="1:25" ht="18" hidden="1">
      <c r="A304" s="1304"/>
      <c r="B304" s="643">
        <v>6401</v>
      </c>
      <c r="C304" s="643" t="s">
        <v>1894</v>
      </c>
      <c r="D304" s="3085">
        <v>2</v>
      </c>
      <c r="E304" s="3086" t="str">
        <f t="shared" si="37"/>
        <v>营业成本</v>
      </c>
      <c r="F304" s="3087" t="s">
        <v>1895</v>
      </c>
      <c r="G304" s="3088">
        <f t="shared" si="38"/>
        <v>1009661.4</v>
      </c>
      <c r="H304" s="3089">
        <f t="shared" ca="1" si="47"/>
        <v>0</v>
      </c>
      <c r="I304" s="3091" t="s">
        <v>6803</v>
      </c>
      <c r="J304" s="3070"/>
      <c r="K304" s="3088">
        <f t="shared" si="45"/>
        <v>4316544.09</v>
      </c>
      <c r="L304" s="3069">
        <f t="shared" ca="1" si="48"/>
        <v>0</v>
      </c>
      <c r="M304" s="3091" t="s">
        <v>6803</v>
      </c>
      <c r="N304" s="3070"/>
      <c r="O304" s="3097"/>
      <c r="P304" s="3098"/>
      <c r="Q304" s="3098"/>
      <c r="R304" s="3098"/>
      <c r="S304" s="3099" t="s">
        <v>295</v>
      </c>
      <c r="T304" s="3099" t="s">
        <v>213</v>
      </c>
      <c r="U304" s="3100"/>
      <c r="V304" s="3100" t="s">
        <v>295</v>
      </c>
      <c r="W304" s="3100" t="s">
        <v>6797</v>
      </c>
      <c r="X304" s="3100" t="s">
        <v>213</v>
      </c>
      <c r="Y304" s="3101" t="s">
        <v>164</v>
      </c>
    </row>
    <row r="305" spans="1:25" ht="18">
      <c r="A305" s="1304"/>
      <c r="B305" s="643">
        <v>6600</v>
      </c>
      <c r="C305" s="643" t="s">
        <v>1897</v>
      </c>
      <c r="D305" s="3085">
        <v>1</v>
      </c>
      <c r="E305" s="3086" t="str">
        <f t="shared" si="37"/>
        <v>税金及附加</v>
      </c>
      <c r="F305" s="3087" t="s">
        <v>1898</v>
      </c>
      <c r="G305" s="3088">
        <f t="shared" si="38"/>
        <v>147093.37</v>
      </c>
      <c r="H305" s="3089">
        <f t="shared" ca="1" si="47"/>
        <v>147093.37</v>
      </c>
      <c r="I305" s="3091">
        <f ca="1">IF(AND(LEN(G305)&gt;0,LEN(H305)&gt;0),ROUND(SUM(G305)-SUM(H305),2),"")</f>
        <v>0</v>
      </c>
      <c r="J305" s="3070" t="str">
        <f ca="1">IF(ISNA(I305),"N/A",IF(I305=0,"√","？"))</f>
        <v>√</v>
      </c>
      <c r="K305" s="3088">
        <f t="shared" si="45"/>
        <v>42462.27</v>
      </c>
      <c r="L305" s="3069">
        <f t="shared" ca="1" si="48"/>
        <v>0</v>
      </c>
      <c r="M305" s="3091">
        <f ca="1">IF(AND(LEN(K305)&gt;0,LEN(L305)&gt;0),ROUND(SUM(K305)-SUM(L305),2),"")</f>
        <v>42462.27</v>
      </c>
      <c r="N305" s="3070" t="str">
        <f ca="1">IF(ISNA(M305),"N/A",IF(M305=0,"√","？"))</f>
        <v>？</v>
      </c>
      <c r="O305" s="3097"/>
      <c r="P305" s="3098"/>
      <c r="Q305" s="3098"/>
      <c r="R305" s="3098"/>
      <c r="S305" s="3099" t="s">
        <v>295</v>
      </c>
      <c r="T305" s="3099" t="s">
        <v>213</v>
      </c>
      <c r="U305" s="3100"/>
      <c r="V305" s="3100" t="s">
        <v>295</v>
      </c>
      <c r="W305" s="3100" t="s">
        <v>6797</v>
      </c>
      <c r="X305" s="3100" t="s">
        <v>6798</v>
      </c>
      <c r="Y305" s="3101" t="s">
        <v>164</v>
      </c>
    </row>
    <row r="306" spans="1:25" ht="18" hidden="1">
      <c r="A306" s="1304"/>
      <c r="B306" s="643">
        <v>6600</v>
      </c>
      <c r="C306" s="643" t="s">
        <v>1901</v>
      </c>
      <c r="D306" s="3085">
        <v>2</v>
      </c>
      <c r="E306" s="3086" t="str">
        <f t="shared" si="37"/>
        <v>税金及附加</v>
      </c>
      <c r="F306" s="3087" t="s">
        <v>1902</v>
      </c>
      <c r="G306" s="3088">
        <f t="shared" si="38"/>
        <v>147093.37</v>
      </c>
      <c r="H306" s="3089">
        <f t="shared" ca="1" si="47"/>
        <v>0</v>
      </c>
      <c r="I306" s="3091" t="s">
        <v>6803</v>
      </c>
      <c r="J306" s="3070"/>
      <c r="K306" s="3088">
        <f t="shared" si="45"/>
        <v>42462.27</v>
      </c>
      <c r="L306" s="3069">
        <f t="shared" ca="1" si="48"/>
        <v>0</v>
      </c>
      <c r="M306" s="3091" t="s">
        <v>6803</v>
      </c>
      <c r="N306" s="3070"/>
      <c r="O306" s="3097"/>
      <c r="P306" s="3098"/>
      <c r="Q306" s="3098"/>
      <c r="R306" s="3098"/>
      <c r="S306" s="3099" t="s">
        <v>295</v>
      </c>
      <c r="T306" s="3099" t="s">
        <v>213</v>
      </c>
      <c r="U306" s="3100"/>
      <c r="V306" s="3100" t="s">
        <v>295</v>
      </c>
      <c r="W306" s="3100" t="s">
        <v>6797</v>
      </c>
      <c r="X306" s="3100" t="s">
        <v>213</v>
      </c>
      <c r="Y306" s="3101" t="s">
        <v>164</v>
      </c>
    </row>
    <row r="307" spans="1:25" ht="18">
      <c r="A307" s="1304"/>
      <c r="B307" s="643">
        <v>6601</v>
      </c>
      <c r="C307" s="643" t="s">
        <v>1905</v>
      </c>
      <c r="D307" s="3085">
        <v>1</v>
      </c>
      <c r="E307" s="3086" t="str">
        <f t="shared" si="37"/>
        <v>销售费用</v>
      </c>
      <c r="F307" s="3087" t="s">
        <v>1906</v>
      </c>
      <c r="G307" s="3088">
        <f t="shared" si="38"/>
        <v>0</v>
      </c>
      <c r="H307" s="3089">
        <f t="shared" ca="1" si="47"/>
        <v>0</v>
      </c>
      <c r="I307" s="3091">
        <f ca="1">IF(AND(LEN(G307)&gt;0,LEN(H307)&gt;0),ROUND(SUM(G307)-SUM(H307),2),"")</f>
        <v>0</v>
      </c>
      <c r="J307" s="3070" t="str">
        <f ca="1">IF(ISNA(I307),"N/A",IF(I307=0,"√","？"))</f>
        <v>√</v>
      </c>
      <c r="K307" s="3088">
        <f t="shared" si="45"/>
        <v>494261.11</v>
      </c>
      <c r="L307" s="3069">
        <f t="shared" ca="1" si="48"/>
        <v>0</v>
      </c>
      <c r="M307" s="3091">
        <f ca="1">IF(AND(LEN(K307)&gt;0,LEN(L307)&gt;0),ROUND(SUM(K307)-SUM(L307),2),"")</f>
        <v>494261.11</v>
      </c>
      <c r="N307" s="3070" t="str">
        <f ca="1">IF(ISNA(M307),"N/A",IF(M307=0,"√","？"))</f>
        <v>？</v>
      </c>
      <c r="O307" s="3097"/>
      <c r="P307" s="3098"/>
      <c r="Q307" s="3098"/>
      <c r="R307" s="3098"/>
      <c r="S307" s="3099" t="s">
        <v>295</v>
      </c>
      <c r="T307" s="3099" t="s">
        <v>213</v>
      </c>
      <c r="U307" s="3100"/>
      <c r="V307" s="3100" t="s">
        <v>295</v>
      </c>
      <c r="W307" s="3100" t="s">
        <v>6797</v>
      </c>
      <c r="X307" s="3100" t="s">
        <v>6798</v>
      </c>
      <c r="Y307" s="3101" t="s">
        <v>164</v>
      </c>
    </row>
    <row r="308" spans="1:25" ht="18" hidden="1">
      <c r="A308" s="1304"/>
      <c r="B308" s="643">
        <v>6601</v>
      </c>
      <c r="C308" s="643" t="s">
        <v>1910</v>
      </c>
      <c r="D308" s="3085">
        <v>2</v>
      </c>
      <c r="E308" s="3086" t="str">
        <f t="shared" si="37"/>
        <v>销售费用</v>
      </c>
      <c r="F308" s="3087" t="s">
        <v>1911</v>
      </c>
      <c r="G308" s="3088">
        <f t="shared" si="38"/>
        <v>0</v>
      </c>
      <c r="H308" s="3089">
        <f t="shared" ca="1" si="47"/>
        <v>750</v>
      </c>
      <c r="I308" s="3091" t="s">
        <v>6803</v>
      </c>
      <c r="J308" s="3070"/>
      <c r="K308" s="3088">
        <f t="shared" si="45"/>
        <v>494261.11</v>
      </c>
      <c r="L308" s="3069">
        <f t="shared" ca="1" si="48"/>
        <v>0</v>
      </c>
      <c r="M308" s="3091" t="s">
        <v>6803</v>
      </c>
      <c r="N308" s="3070"/>
      <c r="O308" s="3097"/>
      <c r="P308" s="3098"/>
      <c r="Q308" s="3098"/>
      <c r="R308" s="3098"/>
      <c r="S308" s="3099" t="s">
        <v>295</v>
      </c>
      <c r="T308" s="3099" t="s">
        <v>213</v>
      </c>
      <c r="U308" s="3100"/>
      <c r="V308" s="3100" t="s">
        <v>295</v>
      </c>
      <c r="W308" s="3100" t="s">
        <v>6797</v>
      </c>
      <c r="X308" s="3100" t="s">
        <v>213</v>
      </c>
      <c r="Y308" s="3101" t="s">
        <v>164</v>
      </c>
    </row>
    <row r="309" spans="1:25" ht="18">
      <c r="A309" s="1304"/>
      <c r="B309" s="643">
        <v>6602</v>
      </c>
      <c r="C309" s="643" t="s">
        <v>1913</v>
      </c>
      <c r="D309" s="3085">
        <v>1</v>
      </c>
      <c r="E309" s="3086" t="str">
        <f t="shared" si="37"/>
        <v>管理费用</v>
      </c>
      <c r="F309" s="3087" t="s">
        <v>1914</v>
      </c>
      <c r="G309" s="3088">
        <f t="shared" si="38"/>
        <v>419878.21</v>
      </c>
      <c r="H309" s="3089">
        <f t="shared" ca="1" si="47"/>
        <v>419878.21</v>
      </c>
      <c r="I309" s="3091">
        <f ca="1">IF(AND(LEN(G309)&gt;0,LEN(H309)&gt;0),ROUND(SUM(G309)-SUM(H309),2),"")</f>
        <v>0</v>
      </c>
      <c r="J309" s="3070" t="str">
        <f ca="1">IF(ISNA(I309),"N/A",IF(I309=0,"√","？"))</f>
        <v>√</v>
      </c>
      <c r="K309" s="3088">
        <f t="shared" si="45"/>
        <v>6359.38</v>
      </c>
      <c r="L309" s="3069">
        <f t="shared" ca="1" si="48"/>
        <v>0</v>
      </c>
      <c r="M309" s="3091">
        <f ca="1">IF(AND(LEN(K309)&gt;0,LEN(L309)&gt;0),ROUND(SUM(K309)-SUM(L309),2),"")</f>
        <v>6359.38</v>
      </c>
      <c r="N309" s="3070" t="str">
        <f ca="1">IF(ISNA(M309),"N/A",IF(M309=0,"√","？"))</f>
        <v>？</v>
      </c>
      <c r="O309" s="3097"/>
      <c r="P309" s="3098"/>
      <c r="Q309" s="3098"/>
      <c r="R309" s="3098"/>
      <c r="S309" s="3099" t="s">
        <v>295</v>
      </c>
      <c r="T309" s="3099" t="s">
        <v>213</v>
      </c>
      <c r="U309" s="3100"/>
      <c r="V309" s="3100" t="s">
        <v>295</v>
      </c>
      <c r="W309" s="3100" t="s">
        <v>6797</v>
      </c>
      <c r="X309" s="3100" t="s">
        <v>6798</v>
      </c>
      <c r="Y309" s="3101" t="s">
        <v>164</v>
      </c>
    </row>
    <row r="310" spans="1:25" ht="18" hidden="1">
      <c r="A310" s="1304"/>
      <c r="B310" s="643">
        <v>6602</v>
      </c>
      <c r="C310" s="643" t="s">
        <v>1916</v>
      </c>
      <c r="D310" s="3085">
        <v>2</v>
      </c>
      <c r="E310" s="3086" t="str">
        <f t="shared" si="37"/>
        <v>管理费用</v>
      </c>
      <c r="F310" s="3087" t="s">
        <v>1917</v>
      </c>
      <c r="G310" s="3088">
        <f t="shared" si="38"/>
        <v>419878.21</v>
      </c>
      <c r="H310" s="3089">
        <f t="shared" ca="1" si="47"/>
        <v>0</v>
      </c>
      <c r="I310" s="3091" t="s">
        <v>6803</v>
      </c>
      <c r="J310" s="3070"/>
      <c r="K310" s="3088">
        <f t="shared" si="45"/>
        <v>6359.38</v>
      </c>
      <c r="L310" s="3069">
        <f t="shared" ca="1" si="48"/>
        <v>0</v>
      </c>
      <c r="M310" s="3091" t="s">
        <v>6803</v>
      </c>
      <c r="N310" s="3070"/>
      <c r="O310" s="3097"/>
      <c r="P310" s="3098"/>
      <c r="Q310" s="3098"/>
      <c r="R310" s="3098"/>
      <c r="S310" s="3099" t="s">
        <v>295</v>
      </c>
      <c r="T310" s="3099" t="s">
        <v>213</v>
      </c>
      <c r="U310" s="3100"/>
      <c r="V310" s="3100" t="s">
        <v>295</v>
      </c>
      <c r="W310" s="3100" t="s">
        <v>6797</v>
      </c>
      <c r="X310" s="3100" t="s">
        <v>213</v>
      </c>
      <c r="Y310" s="3101" t="s">
        <v>164</v>
      </c>
    </row>
    <row r="311" spans="1:25" ht="18" hidden="1">
      <c r="A311" s="1304"/>
      <c r="B311" s="643">
        <v>6606</v>
      </c>
      <c r="C311" s="643" t="s">
        <v>6169</v>
      </c>
      <c r="D311" s="3085">
        <v>2</v>
      </c>
      <c r="E311" s="3086" t="str">
        <f t="shared" si="37"/>
        <v>研发费用</v>
      </c>
      <c r="F311" s="3087" t="s">
        <v>6170</v>
      </c>
      <c r="G311" s="3088">
        <f t="shared" si="38"/>
        <v>0</v>
      </c>
      <c r="H311" s="3089">
        <f t="shared" ca="1" si="47"/>
        <v>0</v>
      </c>
      <c r="I311" s="3091" t="s">
        <v>6803</v>
      </c>
      <c r="J311" s="3070"/>
      <c r="K311" s="3088">
        <f t="shared" si="45"/>
        <v>121122.15</v>
      </c>
      <c r="L311" s="3069">
        <f t="shared" ca="1" si="48"/>
        <v>0</v>
      </c>
      <c r="M311" s="3091" t="s">
        <v>6803</v>
      </c>
      <c r="N311" s="3070"/>
      <c r="O311" s="3097"/>
      <c r="P311" s="3098"/>
      <c r="Q311" s="3098"/>
      <c r="R311" s="3098"/>
      <c r="S311" s="3099" t="s">
        <v>295</v>
      </c>
      <c r="T311" s="3099" t="s">
        <v>213</v>
      </c>
      <c r="U311" s="3100"/>
      <c r="V311" s="3100" t="s">
        <v>295</v>
      </c>
      <c r="W311" s="3100" t="s">
        <v>6797</v>
      </c>
      <c r="X311" s="3100" t="s">
        <v>213</v>
      </c>
      <c r="Y311" s="3101" t="s">
        <v>164</v>
      </c>
    </row>
    <row r="312" spans="1:25" ht="18">
      <c r="A312" s="1304"/>
      <c r="B312" s="643">
        <v>6606</v>
      </c>
      <c r="C312" s="643" t="s">
        <v>1924</v>
      </c>
      <c r="D312" s="3085">
        <v>1</v>
      </c>
      <c r="E312" s="3086" t="str">
        <f t="shared" si="37"/>
        <v>研发费用</v>
      </c>
      <c r="F312" s="3087" t="s">
        <v>1925</v>
      </c>
      <c r="G312" s="3088">
        <f t="shared" si="38"/>
        <v>0</v>
      </c>
      <c r="H312" s="3089">
        <f t="shared" ca="1" si="47"/>
        <v>0</v>
      </c>
      <c r="I312" s="3091">
        <f ca="1">IF(AND(LEN(G312)&gt;0,LEN(H312)&gt;0),ROUND(SUM(G312)-SUM(H312),2),"")</f>
        <v>0</v>
      </c>
      <c r="J312" s="3070" t="str">
        <f ca="1">IF(ISNA(I312),"N/A",IF(I312=0,"√","？"))</f>
        <v>√</v>
      </c>
      <c r="K312" s="3088">
        <f t="shared" si="45"/>
        <v>121122.15</v>
      </c>
      <c r="L312" s="3069">
        <f t="shared" ca="1" si="48"/>
        <v>0</v>
      </c>
      <c r="M312" s="3091">
        <f ca="1">IF(AND(LEN(K312)&gt;0,LEN(L312)&gt;0),ROUND(SUM(K312)-SUM(L312),2),"")</f>
        <v>121122.15</v>
      </c>
      <c r="N312" s="3070" t="str">
        <f ca="1">IF(ISNA(M312),"N/A",IF(M312=0,"√","？"))</f>
        <v>？</v>
      </c>
      <c r="O312" s="3097"/>
      <c r="P312" s="3098"/>
      <c r="Q312" s="3098"/>
      <c r="R312" s="3098"/>
      <c r="S312" s="3099" t="s">
        <v>295</v>
      </c>
      <c r="T312" s="3099" t="s">
        <v>213</v>
      </c>
      <c r="U312" s="3100"/>
      <c r="V312" s="3100" t="s">
        <v>295</v>
      </c>
      <c r="W312" s="3100" t="s">
        <v>6797</v>
      </c>
      <c r="X312" s="3100" t="s">
        <v>6798</v>
      </c>
      <c r="Y312" s="3101" t="s">
        <v>164</v>
      </c>
    </row>
    <row r="313" spans="1:25" ht="18">
      <c r="A313" s="1304"/>
      <c r="B313" s="643">
        <v>6603</v>
      </c>
      <c r="C313" s="643" t="s">
        <v>1919</v>
      </c>
      <c r="D313" s="3085">
        <v>1</v>
      </c>
      <c r="E313" s="3086" t="str">
        <f t="shared" si="37"/>
        <v>财务费用</v>
      </c>
      <c r="F313" s="3087" t="s">
        <v>1920</v>
      </c>
      <c r="G313" s="3088">
        <f t="shared" si="38"/>
        <v>1582.34</v>
      </c>
      <c r="H313" s="3089">
        <f t="shared" ca="1" si="47"/>
        <v>1582.34</v>
      </c>
      <c r="I313" s="3091">
        <f ca="1">IF(AND(LEN(G313)&gt;0,LEN(H313)&gt;0),ROUND(SUM(G313)-SUM(H313),2),"")</f>
        <v>0</v>
      </c>
      <c r="J313" s="3070" t="str">
        <f ca="1">IF(ISNA(I313),"N/A",IF(I313=0,"√","？"))</f>
        <v>√</v>
      </c>
      <c r="K313" s="3088">
        <f t="shared" si="45"/>
        <v>236.95</v>
      </c>
      <c r="L313" s="3069">
        <f t="shared" ca="1" si="48"/>
        <v>0</v>
      </c>
      <c r="M313" s="3091">
        <f ca="1">IF(AND(LEN(K313)&gt;0,LEN(L313)&gt;0),ROUND(SUM(K313)-SUM(L313),2),"")</f>
        <v>236.95</v>
      </c>
      <c r="N313" s="3070" t="str">
        <f ca="1">IF(ISNA(M313),"N/A",IF(M313=0,"√","？"))</f>
        <v>？</v>
      </c>
      <c r="O313" s="3097"/>
      <c r="P313" s="3098"/>
      <c r="Q313" s="3098"/>
      <c r="R313" s="3098"/>
      <c r="S313" s="3099" t="s">
        <v>295</v>
      </c>
      <c r="T313" s="3099" t="s">
        <v>213</v>
      </c>
      <c r="U313" s="3100"/>
      <c r="V313" s="3100" t="s">
        <v>295</v>
      </c>
      <c r="W313" s="3100" t="s">
        <v>6797</v>
      </c>
      <c r="X313" s="3100" t="s">
        <v>6798</v>
      </c>
      <c r="Y313" s="3101" t="s">
        <v>164</v>
      </c>
    </row>
    <row r="314" spans="1:25" ht="18" hidden="1">
      <c r="A314" s="1304"/>
      <c r="B314" s="643">
        <v>6603</v>
      </c>
      <c r="C314" s="643" t="s">
        <v>1922</v>
      </c>
      <c r="D314" s="3085">
        <v>2</v>
      </c>
      <c r="E314" s="3086" t="str">
        <f t="shared" si="37"/>
        <v>财务费用</v>
      </c>
      <c r="F314" s="3087" t="s">
        <v>1923</v>
      </c>
      <c r="G314" s="3088">
        <f t="shared" si="38"/>
        <v>1582.34</v>
      </c>
      <c r="H314" s="3089">
        <f t="shared" ca="1" si="47"/>
        <v>0</v>
      </c>
      <c r="I314" s="3091" t="s">
        <v>6803</v>
      </c>
      <c r="J314" s="3070"/>
      <c r="K314" s="3088">
        <f t="shared" si="45"/>
        <v>236.95</v>
      </c>
      <c r="L314" s="3069">
        <f t="shared" ca="1" si="48"/>
        <v>0</v>
      </c>
      <c r="M314" s="3091" t="s">
        <v>6803</v>
      </c>
      <c r="N314" s="3070"/>
      <c r="O314" s="3097"/>
      <c r="P314" s="3098"/>
      <c r="Q314" s="3098"/>
      <c r="R314" s="3098"/>
      <c r="S314" s="3099" t="s">
        <v>295</v>
      </c>
      <c r="T314" s="3099" t="s">
        <v>213</v>
      </c>
      <c r="U314" s="3100"/>
      <c r="V314" s="3100" t="s">
        <v>295</v>
      </c>
      <c r="W314" s="3100" t="s">
        <v>6797</v>
      </c>
      <c r="X314" s="3100" t="s">
        <v>213</v>
      </c>
      <c r="Y314" s="3101" t="s">
        <v>164</v>
      </c>
    </row>
    <row r="315" spans="1:25" ht="18">
      <c r="A315" s="1304"/>
      <c r="B315" s="643">
        <v>6181</v>
      </c>
      <c r="C315" s="643" t="s">
        <v>1891</v>
      </c>
      <c r="D315" s="3085">
        <v>1</v>
      </c>
      <c r="E315" s="3086" t="str">
        <f t="shared" si="37"/>
        <v>其他收益</v>
      </c>
      <c r="F315" s="3087" t="s">
        <v>1892</v>
      </c>
      <c r="G315" s="3088">
        <f t="shared" si="38"/>
        <v>41615.08</v>
      </c>
      <c r="H315" s="3089">
        <f t="shared" ca="1" si="47"/>
        <v>41615.08</v>
      </c>
      <c r="I315" s="3091">
        <f t="shared" ref="I315:I322" ca="1" si="49">IF(AND(LEN(G315)&gt;0,LEN(H315)&gt;0),ROUND(SUM(G315)-SUM(H315),2),"")</f>
        <v>0</v>
      </c>
      <c r="J315" s="3070" t="str">
        <f t="shared" ref="J315:J322" ca="1" si="50">IF(ISNA(I315),"N/A",IF(I315=0,"√","？"))</f>
        <v>√</v>
      </c>
      <c r="K315" s="3088">
        <f t="shared" si="45"/>
        <v>0</v>
      </c>
      <c r="L315" s="3069">
        <f t="shared" ca="1" si="48"/>
        <v>0</v>
      </c>
      <c r="M315" s="3091">
        <f t="shared" ref="M315:M322" ca="1" si="51">IF(AND(LEN(K315)&gt;0,LEN(L315)&gt;0),ROUND(SUM(K315)-SUM(L315),2),"")</f>
        <v>0</v>
      </c>
      <c r="N315" s="3070" t="str">
        <f t="shared" ref="N315:N322" ca="1" si="52">IF(ISNA(M315),"N/A",IF(M315=0,"√","？"))</f>
        <v>√</v>
      </c>
      <c r="O315" s="3097"/>
      <c r="P315" s="3098"/>
      <c r="Q315" s="3098"/>
      <c r="R315" s="3098"/>
      <c r="S315" s="3099" t="s">
        <v>295</v>
      </c>
      <c r="T315" s="3099" t="s">
        <v>213</v>
      </c>
      <c r="U315" s="3100"/>
      <c r="V315" s="3100" t="s">
        <v>295</v>
      </c>
      <c r="W315" s="3100" t="s">
        <v>6797</v>
      </c>
      <c r="X315" s="3100" t="s">
        <v>6798</v>
      </c>
      <c r="Y315" s="3101" t="s">
        <v>164</v>
      </c>
    </row>
    <row r="316" spans="1:25" ht="18">
      <c r="A316" s="1304"/>
      <c r="B316" s="643">
        <v>6111</v>
      </c>
      <c r="C316" s="643" t="s">
        <v>1885</v>
      </c>
      <c r="D316" s="3085">
        <v>1</v>
      </c>
      <c r="E316" s="3086" t="str">
        <f t="shared" si="37"/>
        <v>投资收益</v>
      </c>
      <c r="F316" s="3087" t="s">
        <v>6458</v>
      </c>
      <c r="G316" s="3088">
        <f t="shared" si="38"/>
        <v>0</v>
      </c>
      <c r="H316" s="3089">
        <f t="shared" ca="1" si="47"/>
        <v>0</v>
      </c>
      <c r="I316" s="3091">
        <f t="shared" ca="1" si="49"/>
        <v>0</v>
      </c>
      <c r="J316" s="3070" t="str">
        <f t="shared" ca="1" si="50"/>
        <v>√</v>
      </c>
      <c r="K316" s="3088">
        <f t="shared" si="45"/>
        <v>0</v>
      </c>
      <c r="L316" s="3069">
        <f t="shared" ca="1" si="48"/>
        <v>0</v>
      </c>
      <c r="M316" s="3091">
        <f t="shared" ca="1" si="51"/>
        <v>0</v>
      </c>
      <c r="N316" s="3070" t="str">
        <f t="shared" ca="1" si="52"/>
        <v>√</v>
      </c>
      <c r="O316" s="3097"/>
      <c r="P316" s="3098"/>
      <c r="Q316" s="3098"/>
      <c r="R316" s="3098"/>
      <c r="S316" s="3099" t="s">
        <v>295</v>
      </c>
      <c r="T316" s="3099" t="s">
        <v>213</v>
      </c>
      <c r="U316" s="3100"/>
      <c r="V316" s="3100" t="s">
        <v>295</v>
      </c>
      <c r="W316" s="3100" t="s">
        <v>6797</v>
      </c>
      <c r="X316" s="3100" t="s">
        <v>6798</v>
      </c>
      <c r="Y316" s="3101" t="s">
        <v>164</v>
      </c>
    </row>
    <row r="317" spans="1:25" ht="24">
      <c r="A317" s="1304"/>
      <c r="B317" s="643">
        <v>6102</v>
      </c>
      <c r="C317" s="643" t="s">
        <v>1882</v>
      </c>
      <c r="D317" s="3085">
        <v>1</v>
      </c>
      <c r="E317" s="3086" t="str">
        <f t="shared" si="37"/>
        <v>净敞口套期收益</v>
      </c>
      <c r="F317" s="3087" t="s">
        <v>1883</v>
      </c>
      <c r="G317" s="3088">
        <f t="shared" si="38"/>
        <v>0</v>
      </c>
      <c r="H317" s="3089">
        <f t="shared" ca="1" si="47"/>
        <v>0</v>
      </c>
      <c r="I317" s="3091">
        <f t="shared" ca="1" si="49"/>
        <v>0</v>
      </c>
      <c r="J317" s="3070" t="str">
        <f t="shared" ca="1" si="50"/>
        <v>√</v>
      </c>
      <c r="K317" s="3088">
        <f t="shared" si="45"/>
        <v>0</v>
      </c>
      <c r="L317" s="3069">
        <f t="shared" ca="1" si="48"/>
        <v>0</v>
      </c>
      <c r="M317" s="3091">
        <f t="shared" ca="1" si="51"/>
        <v>0</v>
      </c>
      <c r="N317" s="3070" t="str">
        <f t="shared" ca="1" si="52"/>
        <v>√</v>
      </c>
      <c r="O317" s="3097"/>
      <c r="P317" s="3098"/>
      <c r="Q317" s="3098"/>
      <c r="R317" s="3098"/>
      <c r="S317" s="3099" t="s">
        <v>295</v>
      </c>
      <c r="T317" s="3099" t="s">
        <v>213</v>
      </c>
      <c r="U317" s="3100"/>
      <c r="V317" s="3100" t="s">
        <v>295</v>
      </c>
      <c r="W317" s="3100" t="s">
        <v>145</v>
      </c>
      <c r="X317" s="3100" t="s">
        <v>6800</v>
      </c>
      <c r="Y317" s="3101" t="s">
        <v>119</v>
      </c>
    </row>
    <row r="318" spans="1:25" ht="24">
      <c r="A318" s="1304"/>
      <c r="B318" s="643">
        <v>6101</v>
      </c>
      <c r="C318" s="643" t="s">
        <v>6091</v>
      </c>
      <c r="D318" s="3085">
        <v>1</v>
      </c>
      <c r="E318" s="3086" t="str">
        <f t="shared" si="37"/>
        <v>公允价值变动收益</v>
      </c>
      <c r="F318" s="3087" t="s">
        <v>6092</v>
      </c>
      <c r="G318" s="3088">
        <f t="shared" si="38"/>
        <v>0</v>
      </c>
      <c r="H318" s="3089">
        <f t="shared" ca="1" si="47"/>
        <v>0</v>
      </c>
      <c r="I318" s="3091">
        <f t="shared" ca="1" si="49"/>
        <v>0</v>
      </c>
      <c r="J318" s="3070" t="str">
        <f t="shared" ca="1" si="50"/>
        <v>√</v>
      </c>
      <c r="K318" s="3088">
        <f t="shared" si="45"/>
        <v>0</v>
      </c>
      <c r="L318" s="3069">
        <f t="shared" ca="1" si="48"/>
        <v>0</v>
      </c>
      <c r="M318" s="3091">
        <f t="shared" ca="1" si="51"/>
        <v>0</v>
      </c>
      <c r="N318" s="3070" t="str">
        <f t="shared" ca="1" si="52"/>
        <v>√</v>
      </c>
      <c r="O318" s="3097"/>
      <c r="P318" s="3098"/>
      <c r="Q318" s="3098"/>
      <c r="R318" s="3098"/>
      <c r="S318" s="3099" t="s">
        <v>295</v>
      </c>
      <c r="T318" s="3099" t="s">
        <v>213</v>
      </c>
      <c r="U318" s="3100"/>
      <c r="V318" s="3100" t="s">
        <v>295</v>
      </c>
      <c r="W318" s="3100" t="s">
        <v>145</v>
      </c>
      <c r="X318" s="3100" t="s">
        <v>6800</v>
      </c>
      <c r="Y318" s="3101" t="s">
        <v>119</v>
      </c>
    </row>
    <row r="319" spans="1:25" ht="18">
      <c r="A319" s="1304"/>
      <c r="B319" s="643">
        <v>6672</v>
      </c>
      <c r="C319" s="643" t="s">
        <v>1930</v>
      </c>
      <c r="D319" s="3085">
        <v>1</v>
      </c>
      <c r="E319" s="3086" t="str">
        <f t="shared" si="37"/>
        <v>信用减值损失</v>
      </c>
      <c r="F319" s="3087" t="s">
        <v>1931</v>
      </c>
      <c r="G319" s="3088">
        <f t="shared" si="38"/>
        <v>4831.16</v>
      </c>
      <c r="H319" s="3089">
        <f t="shared" ca="1" si="47"/>
        <v>4831.16</v>
      </c>
      <c r="I319" s="3091">
        <f t="shared" ca="1" si="49"/>
        <v>0</v>
      </c>
      <c r="J319" s="3070" t="str">
        <f t="shared" ca="1" si="50"/>
        <v>√</v>
      </c>
      <c r="K319" s="3088">
        <f t="shared" si="45"/>
        <v>0</v>
      </c>
      <c r="L319" s="3069">
        <f t="shared" ca="1" si="48"/>
        <v>0</v>
      </c>
      <c r="M319" s="3091">
        <f t="shared" ca="1" si="51"/>
        <v>0</v>
      </c>
      <c r="N319" s="3070" t="str">
        <f t="shared" ca="1" si="52"/>
        <v>√</v>
      </c>
      <c r="O319" s="3097"/>
      <c r="P319" s="3098"/>
      <c r="Q319" s="3098"/>
      <c r="R319" s="3098"/>
      <c r="S319" s="3099" t="s">
        <v>295</v>
      </c>
      <c r="T319" s="3099" t="s">
        <v>213</v>
      </c>
      <c r="U319" s="3100"/>
      <c r="V319" s="3100" t="s">
        <v>295</v>
      </c>
      <c r="W319" s="3100" t="s">
        <v>145</v>
      </c>
      <c r="X319" s="3100" t="s">
        <v>6800</v>
      </c>
      <c r="Y319" s="3101" t="s">
        <v>119</v>
      </c>
    </row>
    <row r="320" spans="1:25" ht="18">
      <c r="A320" s="1304"/>
      <c r="B320" s="643">
        <v>6671</v>
      </c>
      <c r="C320" s="643" t="s">
        <v>1927</v>
      </c>
      <c r="D320" s="3085">
        <v>1</v>
      </c>
      <c r="E320" s="3086" t="str">
        <f t="shared" si="37"/>
        <v>资产减值损失</v>
      </c>
      <c r="F320" s="3087" t="s">
        <v>1928</v>
      </c>
      <c r="G320" s="3088">
        <f t="shared" si="38"/>
        <v>0</v>
      </c>
      <c r="H320" s="3089">
        <f t="shared" ca="1" si="47"/>
        <v>0</v>
      </c>
      <c r="I320" s="3091">
        <f t="shared" ca="1" si="49"/>
        <v>0</v>
      </c>
      <c r="J320" s="3070" t="str">
        <f t="shared" ca="1" si="50"/>
        <v>√</v>
      </c>
      <c r="K320" s="3088">
        <f t="shared" si="45"/>
        <v>-35987.15</v>
      </c>
      <c r="L320" s="3069">
        <f t="shared" ca="1" si="48"/>
        <v>0</v>
      </c>
      <c r="M320" s="3091">
        <f t="shared" ca="1" si="51"/>
        <v>-35987.15</v>
      </c>
      <c r="N320" s="3070" t="str">
        <f t="shared" ca="1" si="52"/>
        <v>？</v>
      </c>
      <c r="O320" s="3097"/>
      <c r="P320" s="3098"/>
      <c r="Q320" s="3098"/>
      <c r="R320" s="3098"/>
      <c r="S320" s="3099" t="s">
        <v>295</v>
      </c>
      <c r="T320" s="3099" t="s">
        <v>213</v>
      </c>
      <c r="U320" s="3100"/>
      <c r="V320" s="3100" t="s">
        <v>295</v>
      </c>
      <c r="W320" s="3100" t="s">
        <v>6797</v>
      </c>
      <c r="X320" s="3100" t="s">
        <v>6798</v>
      </c>
      <c r="Y320" s="3101" t="s">
        <v>164</v>
      </c>
    </row>
    <row r="321" spans="1:25" ht="18">
      <c r="A321" s="1304"/>
      <c r="B321" s="643">
        <v>6171</v>
      </c>
      <c r="C321" s="643" t="s">
        <v>1888</v>
      </c>
      <c r="D321" s="3085">
        <v>1</v>
      </c>
      <c r="E321" s="3086" t="str">
        <f t="shared" si="37"/>
        <v>资产处置收益</v>
      </c>
      <c r="F321" s="3087" t="s">
        <v>1889</v>
      </c>
      <c r="G321" s="3088">
        <f t="shared" si="38"/>
        <v>0</v>
      </c>
      <c r="H321" s="3089">
        <f t="shared" ca="1" si="47"/>
        <v>0</v>
      </c>
      <c r="I321" s="3091">
        <f t="shared" ca="1" si="49"/>
        <v>0</v>
      </c>
      <c r="J321" s="3070" t="str">
        <f t="shared" ca="1" si="50"/>
        <v>√</v>
      </c>
      <c r="K321" s="3088">
        <f t="shared" si="45"/>
        <v>0</v>
      </c>
      <c r="L321" s="3069">
        <f t="shared" ca="1" si="48"/>
        <v>0</v>
      </c>
      <c r="M321" s="3091">
        <f t="shared" ca="1" si="51"/>
        <v>0</v>
      </c>
      <c r="N321" s="3070" t="str">
        <f t="shared" ca="1" si="52"/>
        <v>√</v>
      </c>
      <c r="O321" s="3097"/>
      <c r="P321" s="3098"/>
      <c r="Q321" s="3098"/>
      <c r="R321" s="3098"/>
      <c r="S321" s="3099" t="s">
        <v>295</v>
      </c>
      <c r="T321" s="3099" t="s">
        <v>213</v>
      </c>
      <c r="U321" s="3100"/>
      <c r="V321" s="3100" t="s">
        <v>295</v>
      </c>
      <c r="W321" s="3100" t="s">
        <v>6797</v>
      </c>
      <c r="X321" s="3100" t="s">
        <v>6798</v>
      </c>
      <c r="Y321" s="3101" t="s">
        <v>164</v>
      </c>
    </row>
    <row r="322" spans="1:25" ht="18">
      <c r="A322" s="1304"/>
      <c r="B322" s="643">
        <v>6710</v>
      </c>
      <c r="C322" s="643" t="s">
        <v>1933</v>
      </c>
      <c r="D322" s="3085">
        <v>1</v>
      </c>
      <c r="E322" s="3086" t="str">
        <f t="shared" si="37"/>
        <v>营业外收入</v>
      </c>
      <c r="F322" s="3087" t="s">
        <v>1934</v>
      </c>
      <c r="G322" s="3088">
        <f t="shared" si="38"/>
        <v>0</v>
      </c>
      <c r="H322" s="3089">
        <f t="shared" ca="1" si="47"/>
        <v>0</v>
      </c>
      <c r="I322" s="3091">
        <f t="shared" ca="1" si="49"/>
        <v>0</v>
      </c>
      <c r="J322" s="3070" t="str">
        <f t="shared" ca="1" si="50"/>
        <v>√</v>
      </c>
      <c r="K322" s="3088">
        <f t="shared" si="45"/>
        <v>0</v>
      </c>
      <c r="L322" s="3069">
        <f t="shared" ca="1" si="48"/>
        <v>0</v>
      </c>
      <c r="M322" s="3091">
        <f t="shared" ca="1" si="51"/>
        <v>0</v>
      </c>
      <c r="N322" s="3070" t="str">
        <f t="shared" ca="1" si="52"/>
        <v>√</v>
      </c>
      <c r="O322" s="3097"/>
      <c r="P322" s="3098"/>
      <c r="Q322" s="3098"/>
      <c r="R322" s="3098"/>
      <c r="S322" s="3099" t="s">
        <v>295</v>
      </c>
      <c r="T322" s="3099" t="s">
        <v>213</v>
      </c>
      <c r="U322" s="3100"/>
      <c r="V322" s="3100" t="s">
        <v>295</v>
      </c>
      <c r="W322" s="3100" t="s">
        <v>6797</v>
      </c>
      <c r="X322" s="3100" t="s">
        <v>6798</v>
      </c>
      <c r="Y322" s="3101" t="s">
        <v>164</v>
      </c>
    </row>
    <row r="323" spans="1:25" ht="24" hidden="1">
      <c r="A323" s="1304"/>
      <c r="B323" s="643">
        <v>6710</v>
      </c>
      <c r="C323" s="643" t="s">
        <v>1935</v>
      </c>
      <c r="D323" s="3085">
        <v>2</v>
      </c>
      <c r="E323" s="3086" t="str">
        <f t="shared" si="37"/>
        <v>营业外收入</v>
      </c>
      <c r="F323" s="3087" t="s">
        <v>1936</v>
      </c>
      <c r="G323" s="3088">
        <f t="shared" si="38"/>
        <v>0</v>
      </c>
      <c r="H323" s="3089">
        <f t="shared" ca="1" si="47"/>
        <v>0</v>
      </c>
      <c r="I323" s="3091" t="s">
        <v>6803</v>
      </c>
      <c r="J323" s="3070"/>
      <c r="K323" s="3088">
        <f t="shared" si="45"/>
        <v>0</v>
      </c>
      <c r="L323" s="3069">
        <f t="shared" ca="1" si="48"/>
        <v>0</v>
      </c>
      <c r="M323" s="3091" t="s">
        <v>6803</v>
      </c>
      <c r="N323" s="3070"/>
      <c r="O323" s="3097"/>
      <c r="P323" s="3098"/>
      <c r="Q323" s="3098"/>
      <c r="R323" s="3098"/>
      <c r="S323" s="3099" t="s">
        <v>295</v>
      </c>
      <c r="T323" s="3099" t="s">
        <v>213</v>
      </c>
      <c r="U323" s="3100"/>
      <c r="V323" s="3100" t="s">
        <v>295</v>
      </c>
      <c r="W323" s="3100" t="s">
        <v>6797</v>
      </c>
      <c r="X323" s="3100" t="s">
        <v>6798</v>
      </c>
      <c r="Y323" s="3101" t="s">
        <v>164</v>
      </c>
    </row>
    <row r="324" spans="1:25" ht="18">
      <c r="A324" s="1304"/>
      <c r="B324" s="643">
        <v>6711</v>
      </c>
      <c r="C324" s="643" t="s">
        <v>1937</v>
      </c>
      <c r="D324" s="3085">
        <v>1</v>
      </c>
      <c r="E324" s="3086" t="str">
        <f t="shared" si="37"/>
        <v>营业外支出</v>
      </c>
      <c r="F324" s="3087" t="s">
        <v>1938</v>
      </c>
      <c r="G324" s="3088">
        <f t="shared" si="38"/>
        <v>0</v>
      </c>
      <c r="H324" s="3089">
        <f t="shared" ca="1" si="47"/>
        <v>0</v>
      </c>
      <c r="I324" s="3091">
        <f ca="1">IF(AND(LEN(G324)&gt;0,LEN(H324)&gt;0),ROUND(SUM(G324)-SUM(H324),2),"")</f>
        <v>0</v>
      </c>
      <c r="J324" s="3070" t="str">
        <f ca="1">IF(ISNA(I324),"N/A",IF(I324=0,"√","？"))</f>
        <v>√</v>
      </c>
      <c r="K324" s="3088">
        <f t="shared" si="45"/>
        <v>0</v>
      </c>
      <c r="L324" s="3069">
        <f t="shared" ca="1" si="48"/>
        <v>0</v>
      </c>
      <c r="M324" s="3091">
        <f ca="1">IF(AND(LEN(K324)&gt;0,LEN(L324)&gt;0),ROUND(SUM(K324)-SUM(L324),2),"")</f>
        <v>0</v>
      </c>
      <c r="N324" s="3070" t="str">
        <f ca="1">IF(ISNA(M324),"N/A",IF(M324=0,"√","？"))</f>
        <v>√</v>
      </c>
      <c r="O324" s="3097"/>
      <c r="P324" s="3098"/>
      <c r="Q324" s="3098"/>
      <c r="R324" s="3098"/>
      <c r="S324" s="3099" t="s">
        <v>295</v>
      </c>
      <c r="T324" s="3099" t="s">
        <v>213</v>
      </c>
      <c r="U324" s="3100"/>
      <c r="V324" s="3100" t="s">
        <v>295</v>
      </c>
      <c r="W324" s="3100" t="s">
        <v>6797</v>
      </c>
      <c r="X324" s="3100" t="s">
        <v>6798</v>
      </c>
      <c r="Y324" s="3101" t="s">
        <v>164</v>
      </c>
    </row>
    <row r="325" spans="1:25" ht="18">
      <c r="A325" s="1304"/>
      <c r="B325" s="643">
        <v>6791</v>
      </c>
      <c r="C325" s="643" t="s">
        <v>1939</v>
      </c>
      <c r="D325" s="3085">
        <v>1</v>
      </c>
      <c r="E325" s="3086" t="str">
        <f t="shared" si="37"/>
        <v>所得税费用</v>
      </c>
      <c r="F325" s="3087" t="s">
        <v>1940</v>
      </c>
      <c r="G325" s="3088">
        <f t="shared" si="38"/>
        <v>-1089328.4099999999</v>
      </c>
      <c r="H325" s="3089">
        <f t="shared" ca="1" si="47"/>
        <v>-1089328.4099999999</v>
      </c>
      <c r="I325" s="3091">
        <f ca="1">IF(AND(LEN(G325)&gt;0,LEN(H325)&gt;0),ROUND(SUM(G325)-SUM(H325),2),"")</f>
        <v>0</v>
      </c>
      <c r="J325" s="3070" t="str">
        <f ca="1">IF(ISNA(I325),"N/A",IF(I325=0,"√","？"))</f>
        <v>√</v>
      </c>
      <c r="K325" s="3088">
        <f t="shared" si="45"/>
        <v>38389.24</v>
      </c>
      <c r="L325" s="3069">
        <f t="shared" ca="1" si="48"/>
        <v>0</v>
      </c>
      <c r="M325" s="3091">
        <f ca="1">IF(AND(LEN(K325)&gt;0,LEN(L325)&gt;0),ROUND(SUM(K325)-SUM(L325),2),"")</f>
        <v>38389.24</v>
      </c>
      <c r="N325" s="3070" t="str">
        <f ca="1">IF(ISNA(M325),"N/A",IF(M325=0,"√","？"))</f>
        <v>？</v>
      </c>
      <c r="O325" s="3097"/>
      <c r="P325" s="3098"/>
      <c r="Q325" s="3098"/>
      <c r="R325" s="3098"/>
      <c r="S325" s="3099" t="s">
        <v>295</v>
      </c>
      <c r="T325" s="3099" t="s">
        <v>213</v>
      </c>
      <c r="U325" s="3100"/>
      <c r="V325" s="3100" t="s">
        <v>295</v>
      </c>
      <c r="W325" s="3100" t="s">
        <v>6797</v>
      </c>
      <c r="X325" s="3100" t="s">
        <v>6798</v>
      </c>
      <c r="Y325" s="3101" t="s">
        <v>164</v>
      </c>
    </row>
    <row r="326" spans="1:25" ht="24" hidden="1">
      <c r="A326" s="1304"/>
      <c r="B326" s="643">
        <v>6791</v>
      </c>
      <c r="C326" s="643" t="s">
        <v>1941</v>
      </c>
      <c r="D326" s="3085">
        <v>2</v>
      </c>
      <c r="E326" s="3086" t="str">
        <f t="shared" si="37"/>
        <v>所得税费用</v>
      </c>
      <c r="F326" s="3087" t="s">
        <v>1942</v>
      </c>
      <c r="G326" s="3088">
        <f t="shared" si="38"/>
        <v>-1089328.4099999999</v>
      </c>
      <c r="H326" s="3089">
        <f t="shared" ca="1" si="47"/>
        <v>-1089328.4099999999</v>
      </c>
      <c r="I326" s="3091" t="s">
        <v>6803</v>
      </c>
      <c r="J326" s="3070"/>
      <c r="K326" s="3088">
        <f t="shared" si="45"/>
        <v>38389.24</v>
      </c>
      <c r="L326" s="3069">
        <f t="shared" ca="1" si="48"/>
        <v>0</v>
      </c>
      <c r="M326" s="3091" t="s">
        <v>6803</v>
      </c>
      <c r="N326" s="3070"/>
      <c r="O326" s="3097"/>
      <c r="P326" s="3098"/>
      <c r="Q326" s="3098"/>
      <c r="R326" s="3098"/>
      <c r="S326" s="3099" t="s">
        <v>295</v>
      </c>
      <c r="T326" s="3099" t="s">
        <v>213</v>
      </c>
      <c r="U326" s="3100"/>
      <c r="V326" s="3100" t="s">
        <v>295</v>
      </c>
      <c r="W326" s="3100" t="s">
        <v>6797</v>
      </c>
      <c r="X326" s="3100" t="s">
        <v>6800</v>
      </c>
      <c r="Y326" s="3101" t="s">
        <v>164</v>
      </c>
    </row>
    <row r="327" spans="1:25" ht="24">
      <c r="A327" s="1304"/>
      <c r="B327" s="643">
        <v>7046</v>
      </c>
      <c r="C327" s="643" t="s">
        <v>1946</v>
      </c>
      <c r="D327" s="3085">
        <v>1</v>
      </c>
      <c r="E327" s="3086" t="str">
        <f t="shared" si="37"/>
        <v>收到其他与经营活动有关的现金</v>
      </c>
      <c r="F327" s="3087" t="s">
        <v>1947</v>
      </c>
      <c r="G327" s="3088">
        <f t="shared" si="38"/>
        <v>120871.54</v>
      </c>
      <c r="H327" s="3089">
        <f t="shared" ca="1" si="47"/>
        <v>120871.54</v>
      </c>
      <c r="I327" s="3091">
        <f ca="1">IF(AND(LEN(G327)&gt;0,LEN(H327)&gt;0),ROUND(SUM(G327)-SUM(H327),2),"")</f>
        <v>0</v>
      </c>
      <c r="J327" s="3070" t="str">
        <f ca="1">IF(ISNA(I327),"N/A",IF(I327=0,"√","？"))</f>
        <v>√</v>
      </c>
      <c r="K327" s="3088">
        <f t="shared" si="45"/>
        <v>75955.25</v>
      </c>
      <c r="L327" s="3069">
        <f t="shared" ca="1" si="48"/>
        <v>0</v>
      </c>
      <c r="M327" s="3091">
        <f ca="1">IF(AND(LEN(K327)&gt;0,LEN(L327)&gt;0),ROUND(SUM(K327)-SUM(L327),2),"")</f>
        <v>75955.25</v>
      </c>
      <c r="N327" s="3070" t="str">
        <f ca="1">IF(ISNA(M327),"N/A",IF(M327=0,"√","？"))</f>
        <v>？</v>
      </c>
      <c r="O327" s="3097"/>
      <c r="P327" s="3098"/>
      <c r="Q327" s="3098"/>
      <c r="R327" s="3098"/>
      <c r="S327" s="3099" t="s">
        <v>295</v>
      </c>
      <c r="T327" s="3099" t="s">
        <v>213</v>
      </c>
      <c r="U327" s="3100"/>
      <c r="V327" s="3100" t="s">
        <v>295</v>
      </c>
      <c r="W327" s="3100" t="s">
        <v>6797</v>
      </c>
      <c r="X327" s="3100" t="s">
        <v>6800</v>
      </c>
      <c r="Y327" s="3101" t="s">
        <v>164</v>
      </c>
    </row>
    <row r="328" spans="1:25" ht="24" hidden="1">
      <c r="A328" s="1304"/>
      <c r="B328" s="643">
        <v>7046</v>
      </c>
      <c r="C328" s="643" t="s">
        <v>1948</v>
      </c>
      <c r="D328" s="3085">
        <v>2</v>
      </c>
      <c r="E328" s="3086" t="str">
        <f t="shared" si="37"/>
        <v>收到其他与经营活动有关的现金</v>
      </c>
      <c r="F328" s="3087" t="s">
        <v>1949</v>
      </c>
      <c r="G328" s="3088">
        <f t="shared" si="38"/>
        <v>120871.54</v>
      </c>
      <c r="H328" s="3089">
        <f t="shared" ca="1" si="47"/>
        <v>0</v>
      </c>
      <c r="I328" s="3091" t="s">
        <v>6803</v>
      </c>
      <c r="J328" s="3070"/>
      <c r="K328" s="3088">
        <f t="shared" si="45"/>
        <v>75955.25</v>
      </c>
      <c r="L328" s="3069" t="s">
        <v>6799</v>
      </c>
      <c r="M328" s="3091" t="s">
        <v>6803</v>
      </c>
      <c r="N328" s="3070"/>
      <c r="O328" s="3097"/>
      <c r="P328" s="3098"/>
      <c r="Q328" s="3098"/>
      <c r="R328" s="3098"/>
      <c r="S328" s="3099" t="s">
        <v>295</v>
      </c>
      <c r="T328" s="3099" t="s">
        <v>213</v>
      </c>
      <c r="U328" s="3100">
        <v>7046</v>
      </c>
      <c r="V328" s="3100" t="s">
        <v>295</v>
      </c>
      <c r="W328" s="3100" t="s">
        <v>6797</v>
      </c>
      <c r="X328" s="3100" t="s">
        <v>213</v>
      </c>
      <c r="Y328" s="3101" t="s">
        <v>164</v>
      </c>
    </row>
    <row r="329" spans="1:25" ht="24">
      <c r="A329" s="1304"/>
      <c r="B329" s="643">
        <v>7096</v>
      </c>
      <c r="C329" s="643" t="s">
        <v>1957</v>
      </c>
      <c r="D329" s="3085">
        <v>1</v>
      </c>
      <c r="E329" s="3086" t="str">
        <f t="shared" ref="E329:E392" si="53">IF(ISERROR(VLOOKUP($B329,Sheet_Items,2,0)),"        ----",VLOOKUP($B329,Sheet_Items,2,0))</f>
        <v>支付其他与经营活动有关的现金</v>
      </c>
      <c r="F329" s="3087" t="s">
        <v>1958</v>
      </c>
      <c r="G329" s="3088">
        <f t="shared" ref="G329:G392" si="54">IF(ISERROR(VLOOKUP($B329,Sheet_Trialbal,6,0)),"        ----",VLOOKUP($B329,Sheet_Trialbal,6,0))</f>
        <v>26330.27</v>
      </c>
      <c r="H329" s="3089">
        <f t="shared" ca="1" si="47"/>
        <v>26330.27</v>
      </c>
      <c r="I329" s="3091">
        <f ca="1">IF(AND(LEN(G329)&gt;0,LEN(H329)&gt;0),ROUND(SUM(G329)-SUM(H329),2),"")</f>
        <v>0</v>
      </c>
      <c r="J329" s="3070" t="str">
        <f ca="1">IF(ISNA(I329),"N/A",IF(I329=0,"√","？"))</f>
        <v>√</v>
      </c>
      <c r="K329" s="3088">
        <f t="shared" si="45"/>
        <v>1504600.6</v>
      </c>
      <c r="L329" s="3069">
        <f ca="1">INDIRECT("Notes!CheckB"&amp;$C329)</f>
        <v>0</v>
      </c>
      <c r="M329" s="3091">
        <f ca="1">IF(AND(LEN(K329)&gt;0,LEN(L329)&gt;0),ROUND(SUM(K329)-SUM(L329),2),"")</f>
        <v>1504600.6</v>
      </c>
      <c r="N329" s="3070" t="str">
        <f ca="1">IF(ISNA(M329),"N/A",IF(M329=0,"√","？"))</f>
        <v>？</v>
      </c>
      <c r="O329" s="3097"/>
      <c r="P329" s="3098"/>
      <c r="Q329" s="3098"/>
      <c r="R329" s="3098"/>
      <c r="S329" s="3099" t="s">
        <v>295</v>
      </c>
      <c r="T329" s="3099" t="s">
        <v>213</v>
      </c>
      <c r="U329" s="3100"/>
      <c r="V329" s="3100" t="s">
        <v>295</v>
      </c>
      <c r="W329" s="3100" t="s">
        <v>6797</v>
      </c>
      <c r="X329" s="3100" t="s">
        <v>6800</v>
      </c>
      <c r="Y329" s="3101" t="s">
        <v>164</v>
      </c>
    </row>
    <row r="330" spans="1:25" ht="24" hidden="1">
      <c r="A330" s="1304"/>
      <c r="B330" s="643">
        <v>7096</v>
      </c>
      <c r="C330" s="643" t="s">
        <v>1960</v>
      </c>
      <c r="D330" s="3085">
        <v>2</v>
      </c>
      <c r="E330" s="3086" t="str">
        <f t="shared" si="53"/>
        <v>支付其他与经营活动有关的现金</v>
      </c>
      <c r="F330" s="3087" t="s">
        <v>1961</v>
      </c>
      <c r="G330" s="3088">
        <f t="shared" si="54"/>
        <v>26330.27</v>
      </c>
      <c r="H330" s="3089">
        <f t="shared" ca="1" si="47"/>
        <v>0</v>
      </c>
      <c r="I330" s="3091" t="s">
        <v>6803</v>
      </c>
      <c r="J330" s="3070"/>
      <c r="K330" s="3088">
        <f t="shared" si="45"/>
        <v>1504600.6</v>
      </c>
      <c r="L330" s="3069" t="s">
        <v>6799</v>
      </c>
      <c r="M330" s="3091" t="s">
        <v>6803</v>
      </c>
      <c r="N330" s="3070"/>
      <c r="O330" s="3097"/>
      <c r="P330" s="3098"/>
      <c r="Q330" s="3098"/>
      <c r="R330" s="3098"/>
      <c r="S330" s="3099" t="s">
        <v>295</v>
      </c>
      <c r="T330" s="3099" t="s">
        <v>213</v>
      </c>
      <c r="U330" s="3100">
        <v>7096</v>
      </c>
      <c r="V330" s="3100" t="s">
        <v>295</v>
      </c>
      <c r="W330" s="3100" t="s">
        <v>6797</v>
      </c>
      <c r="X330" s="3100" t="s">
        <v>213</v>
      </c>
      <c r="Y330" s="3101" t="s">
        <v>164</v>
      </c>
    </row>
    <row r="331" spans="1:25" ht="24">
      <c r="A331" s="1304"/>
      <c r="B331" s="643">
        <v>7146</v>
      </c>
      <c r="C331" s="643" t="s">
        <v>1971</v>
      </c>
      <c r="D331" s="3085">
        <v>1</v>
      </c>
      <c r="E331" s="3086" t="str">
        <f t="shared" si="53"/>
        <v>收到其他与投资活动有关的现金</v>
      </c>
      <c r="F331" s="3087" t="s">
        <v>1972</v>
      </c>
      <c r="G331" s="3088">
        <f t="shared" si="54"/>
        <v>0</v>
      </c>
      <c r="H331" s="3089">
        <f t="shared" ca="1" si="47"/>
        <v>0</v>
      </c>
      <c r="I331" s="3091">
        <f ca="1">IF(AND(LEN(G331)&gt;0,LEN(H331)&gt;0),ROUND(SUM(G331)-SUM(H331),2),"")</f>
        <v>0</v>
      </c>
      <c r="J331" s="3070" t="str">
        <f ca="1">IF(ISNA(I331),"N/A",IF(I331=0,"√","？"))</f>
        <v>√</v>
      </c>
      <c r="K331" s="3088">
        <f t="shared" si="45"/>
        <v>0</v>
      </c>
      <c r="L331" s="3069">
        <f ca="1">INDIRECT("Notes!CheckB"&amp;$C331)</f>
        <v>0</v>
      </c>
      <c r="M331" s="3091">
        <f ca="1">IF(AND(LEN(K331)&gt;0,LEN(L331)&gt;0),ROUND(SUM(K331)-SUM(L331),2),"")</f>
        <v>0</v>
      </c>
      <c r="N331" s="3070" t="str">
        <f ca="1">IF(ISNA(M331),"N/A",IF(M331=0,"√","？"))</f>
        <v>√</v>
      </c>
      <c r="O331" s="3097"/>
      <c r="P331" s="3098"/>
      <c r="Q331" s="3098"/>
      <c r="R331" s="3098"/>
      <c r="S331" s="3099" t="s">
        <v>295</v>
      </c>
      <c r="T331" s="3099" t="s">
        <v>213</v>
      </c>
      <c r="U331" s="3100"/>
      <c r="V331" s="3100" t="s">
        <v>295</v>
      </c>
      <c r="W331" s="3100" t="s">
        <v>6797</v>
      </c>
      <c r="X331" s="3100" t="s">
        <v>6800</v>
      </c>
      <c r="Y331" s="3101" t="s">
        <v>164</v>
      </c>
    </row>
    <row r="332" spans="1:25" ht="24">
      <c r="A332" s="1304"/>
      <c r="B332" s="643">
        <v>7196</v>
      </c>
      <c r="C332" s="643" t="s">
        <v>1978</v>
      </c>
      <c r="D332" s="3085">
        <v>1</v>
      </c>
      <c r="E332" s="3086" t="str">
        <f t="shared" si="53"/>
        <v>支付其他与投资活动有关的现金</v>
      </c>
      <c r="F332" s="3087" t="s">
        <v>1979</v>
      </c>
      <c r="G332" s="3088">
        <f t="shared" si="54"/>
        <v>0</v>
      </c>
      <c r="H332" s="3089">
        <f t="shared" ca="1" si="47"/>
        <v>0</v>
      </c>
      <c r="I332" s="3091">
        <f ca="1">IF(AND(LEN(G332)&gt;0,LEN(H332)&gt;0),ROUND(SUM(G332)-SUM(H332),2),"")</f>
        <v>0</v>
      </c>
      <c r="J332" s="3070" t="str">
        <f ca="1">IF(ISNA(I332),"N/A",IF(I332=0,"√","？"))</f>
        <v>√</v>
      </c>
      <c r="K332" s="3088">
        <f t="shared" si="45"/>
        <v>0</v>
      </c>
      <c r="L332" s="3069">
        <f ca="1">INDIRECT("Notes!CheckB"&amp;$C332)</f>
        <v>0</v>
      </c>
      <c r="M332" s="3091">
        <f ca="1">IF(AND(LEN(K332)&gt;0,LEN(L332)&gt;0),ROUND(SUM(K332)-SUM(L332),2),"")</f>
        <v>0</v>
      </c>
      <c r="N332" s="3070" t="str">
        <f ca="1">IF(ISNA(M332),"N/A",IF(M332=0,"√","？"))</f>
        <v>√</v>
      </c>
      <c r="O332" s="3097"/>
      <c r="P332" s="3098"/>
      <c r="Q332" s="3098"/>
      <c r="R332" s="3098"/>
      <c r="S332" s="3099" t="s">
        <v>295</v>
      </c>
      <c r="T332" s="3099" t="s">
        <v>213</v>
      </c>
      <c r="U332" s="3100"/>
      <c r="V332" s="3100" t="s">
        <v>295</v>
      </c>
      <c r="W332" s="3100" t="s">
        <v>6797</v>
      </c>
      <c r="X332" s="3100" t="s">
        <v>6800</v>
      </c>
      <c r="Y332" s="3101" t="s">
        <v>164</v>
      </c>
    </row>
    <row r="333" spans="1:25" ht="24">
      <c r="A333" s="1304"/>
      <c r="B333" s="643">
        <v>7246</v>
      </c>
      <c r="C333" s="643" t="s">
        <v>1983</v>
      </c>
      <c r="D333" s="3085">
        <v>1</v>
      </c>
      <c r="E333" s="3086" t="str">
        <f t="shared" si="53"/>
        <v>收到其他与筹资活动有关的现金</v>
      </c>
      <c r="F333" s="3087" t="s">
        <v>1984</v>
      </c>
      <c r="G333" s="3088">
        <f t="shared" si="54"/>
        <v>0</v>
      </c>
      <c r="H333" s="3089">
        <f t="shared" ca="1" si="47"/>
        <v>0</v>
      </c>
      <c r="I333" s="3091">
        <f ca="1">IF(AND(LEN(G333)&gt;0,LEN(H333)&gt;0),ROUND(SUM(G333)-SUM(H333),2),"")</f>
        <v>0</v>
      </c>
      <c r="J333" s="3070" t="str">
        <f ca="1">IF(ISNA(I333),"N/A",IF(I333=0,"√","？"))</f>
        <v>√</v>
      </c>
      <c r="K333" s="3088">
        <f t="shared" si="45"/>
        <v>1194580.43</v>
      </c>
      <c r="L333" s="3069">
        <f ca="1">INDIRECT("Notes!CheckB"&amp;$C333)</f>
        <v>0</v>
      </c>
      <c r="M333" s="3091">
        <f ca="1">IF(AND(LEN(K333)&gt;0,LEN(L333)&gt;0),ROUND(SUM(K333)-SUM(L333),2),"")</f>
        <v>1194580.43</v>
      </c>
      <c r="N333" s="3070" t="str">
        <f ca="1">IF(ISNA(M333),"N/A",IF(M333=0,"√","？"))</f>
        <v>？</v>
      </c>
      <c r="O333" s="3097"/>
      <c r="P333" s="3098"/>
      <c r="Q333" s="3098"/>
      <c r="R333" s="3098"/>
      <c r="S333" s="3099" t="s">
        <v>295</v>
      </c>
      <c r="T333" s="3099" t="s">
        <v>213</v>
      </c>
      <c r="U333" s="3100"/>
      <c r="V333" s="3100" t="s">
        <v>295</v>
      </c>
      <c r="W333" s="3100" t="s">
        <v>6797</v>
      </c>
      <c r="X333" s="3100" t="s">
        <v>6800</v>
      </c>
      <c r="Y333" s="3101" t="s">
        <v>164</v>
      </c>
    </row>
    <row r="334" spans="1:25" ht="24">
      <c r="A334" s="1304"/>
      <c r="B334" s="643">
        <v>7296</v>
      </c>
      <c r="C334" s="643" t="s">
        <v>1990</v>
      </c>
      <c r="D334" s="3085">
        <v>1</v>
      </c>
      <c r="E334" s="3086" t="str">
        <f t="shared" si="53"/>
        <v>支付其他与筹资活动有关的现金</v>
      </c>
      <c r="F334" s="3087" t="s">
        <v>1991</v>
      </c>
      <c r="G334" s="3088">
        <f t="shared" si="54"/>
        <v>738000</v>
      </c>
      <c r="H334" s="3089">
        <f t="shared" ca="1" si="47"/>
        <v>738000</v>
      </c>
      <c r="I334" s="3091">
        <f ca="1">IF(AND(LEN(G334)&gt;0,LEN(H334)&gt;0),ROUND(SUM(G334)-SUM(H334),2),"")</f>
        <v>0</v>
      </c>
      <c r="J334" s="3070" t="str">
        <f ca="1">IF(ISNA(I334),"N/A",IF(I334=0,"√","？"))</f>
        <v>√</v>
      </c>
      <c r="K334" s="3088">
        <f t="shared" si="45"/>
        <v>0</v>
      </c>
      <c r="L334" s="3069">
        <f ca="1">INDIRECT("Notes!CheckB"&amp;$C334)</f>
        <v>0</v>
      </c>
      <c r="M334" s="3091">
        <f ca="1">IF(AND(LEN(K334)&gt;0,LEN(L334)&gt;0),ROUND(SUM(K334)-SUM(L334),2),"")</f>
        <v>0</v>
      </c>
      <c r="N334" s="3070" t="str">
        <f ca="1">IF(ISNA(M334),"N/A",IF(M334=0,"√","？"))</f>
        <v>√</v>
      </c>
      <c r="O334" s="3097"/>
      <c r="P334" s="3098"/>
      <c r="Q334" s="3098"/>
      <c r="R334" s="3098"/>
      <c r="S334" s="3099" t="s">
        <v>295</v>
      </c>
      <c r="T334" s="3099" t="s">
        <v>213</v>
      </c>
      <c r="U334" s="3100"/>
      <c r="V334" s="3100" t="s">
        <v>295</v>
      </c>
      <c r="W334" s="3100" t="s">
        <v>6797</v>
      </c>
      <c r="X334" s="3100" t="s">
        <v>6800</v>
      </c>
      <c r="Y334" s="3101" t="s">
        <v>164</v>
      </c>
    </row>
    <row r="335" spans="1:25" ht="24" hidden="1">
      <c r="A335" s="1304"/>
      <c r="B335" s="643">
        <v>7001</v>
      </c>
      <c r="C335" s="643" t="s">
        <v>1944</v>
      </c>
      <c r="D335" s="3085">
        <v>2</v>
      </c>
      <c r="E335" s="3086" t="str">
        <f t="shared" si="53"/>
        <v>销售商品提供劳务收到的现金</v>
      </c>
      <c r="F335" s="3087" t="s">
        <v>1945</v>
      </c>
      <c r="G335" s="3088">
        <f t="shared" si="54"/>
        <v>3423319.05</v>
      </c>
      <c r="H335" s="3089">
        <f t="shared" ca="1" si="47"/>
        <v>0</v>
      </c>
      <c r="I335" s="3091" t="s">
        <v>6803</v>
      </c>
      <c r="J335" s="3070"/>
      <c r="K335" s="3088">
        <f t="shared" si="45"/>
        <v>5797532.9199999999</v>
      </c>
      <c r="L335" s="3069" t="s">
        <v>6799</v>
      </c>
      <c r="M335" s="3091" t="s">
        <v>6803</v>
      </c>
      <c r="N335" s="3070"/>
      <c r="O335" s="3097"/>
      <c r="P335" s="3098"/>
      <c r="Q335" s="3098"/>
      <c r="R335" s="3098"/>
      <c r="S335" s="3099" t="s">
        <v>295</v>
      </c>
      <c r="T335" s="3099" t="s">
        <v>213</v>
      </c>
      <c r="U335" s="3100"/>
      <c r="V335" s="3100" t="s">
        <v>295</v>
      </c>
      <c r="W335" s="3100" t="s">
        <v>6797</v>
      </c>
      <c r="X335" s="3100" t="s">
        <v>213</v>
      </c>
      <c r="Y335" s="3101" t="s">
        <v>164</v>
      </c>
    </row>
    <row r="336" spans="1:25" ht="24" hidden="1">
      <c r="A336" s="1304"/>
      <c r="B336" s="643">
        <v>7051</v>
      </c>
      <c r="C336" s="643" t="s">
        <v>1951</v>
      </c>
      <c r="D336" s="3085">
        <v>2</v>
      </c>
      <c r="E336" s="3086" t="str">
        <f t="shared" si="53"/>
        <v>购买商品接受劳务支付的现金</v>
      </c>
      <c r="F336" s="3087" t="s">
        <v>1952</v>
      </c>
      <c r="G336" s="3088">
        <f t="shared" si="54"/>
        <v>281714.11</v>
      </c>
      <c r="H336" s="3089">
        <f t="shared" ca="1" si="47"/>
        <v>0</v>
      </c>
      <c r="I336" s="3091" t="s">
        <v>6803</v>
      </c>
      <c r="J336" s="3070"/>
      <c r="K336" s="3088">
        <f t="shared" si="45"/>
        <v>81582.06</v>
      </c>
      <c r="L336" s="3069" t="s">
        <v>6799</v>
      </c>
      <c r="M336" s="3091" t="s">
        <v>6803</v>
      </c>
      <c r="N336" s="3070"/>
      <c r="O336" s="3097"/>
      <c r="P336" s="3098"/>
      <c r="Q336" s="3098"/>
      <c r="R336" s="3098"/>
      <c r="S336" s="3099" t="s">
        <v>295</v>
      </c>
      <c r="T336" s="3099" t="s">
        <v>213</v>
      </c>
      <c r="U336" s="3100"/>
      <c r="V336" s="3100" t="s">
        <v>295</v>
      </c>
      <c r="W336" s="3100" t="s">
        <v>6797</v>
      </c>
      <c r="X336" s="3100" t="s">
        <v>213</v>
      </c>
      <c r="Y336" s="3101" t="s">
        <v>164</v>
      </c>
    </row>
    <row r="337" spans="1:25" ht="24" hidden="1">
      <c r="A337" s="1304"/>
      <c r="B337" s="643">
        <v>7061</v>
      </c>
      <c r="C337" s="643" t="s">
        <v>1953</v>
      </c>
      <c r="D337" s="3085">
        <v>2</v>
      </c>
      <c r="E337" s="3086" t="str">
        <f t="shared" si="53"/>
        <v>支付给职工以及为职工支付的现金</v>
      </c>
      <c r="F337" s="3087" t="s">
        <v>1954</v>
      </c>
      <c r="G337" s="3088">
        <f t="shared" si="54"/>
        <v>2184383.0299999998</v>
      </c>
      <c r="H337" s="3089">
        <f t="shared" ca="1" si="47"/>
        <v>0</v>
      </c>
      <c r="I337" s="3091" t="s">
        <v>6803</v>
      </c>
      <c r="J337" s="3070"/>
      <c r="K337" s="3088">
        <f t="shared" si="45"/>
        <v>4358899.5999999996</v>
      </c>
      <c r="L337" s="3069" t="s">
        <v>6799</v>
      </c>
      <c r="M337" s="3091" t="s">
        <v>6803</v>
      </c>
      <c r="N337" s="3070"/>
      <c r="O337" s="3097"/>
      <c r="P337" s="3098"/>
      <c r="Q337" s="3098"/>
      <c r="R337" s="3098"/>
      <c r="S337" s="3099" t="s">
        <v>295</v>
      </c>
      <c r="T337" s="3099" t="s">
        <v>213</v>
      </c>
      <c r="U337" s="3100"/>
      <c r="V337" s="3100" t="s">
        <v>295</v>
      </c>
      <c r="W337" s="3100" t="s">
        <v>6797</v>
      </c>
      <c r="X337" s="3100" t="s">
        <v>213</v>
      </c>
      <c r="Y337" s="3101" t="s">
        <v>164</v>
      </c>
    </row>
    <row r="338" spans="1:25" ht="18" hidden="1">
      <c r="A338" s="1304"/>
      <c r="B338" s="643">
        <v>7071</v>
      </c>
      <c r="C338" s="643" t="s">
        <v>1955</v>
      </c>
      <c r="D338" s="3085">
        <v>2</v>
      </c>
      <c r="E338" s="3086" t="str">
        <f t="shared" si="53"/>
        <v>支付的各项税费</v>
      </c>
      <c r="F338" s="3087" t="s">
        <v>1956</v>
      </c>
      <c r="G338" s="3088">
        <f t="shared" si="54"/>
        <v>734423.99</v>
      </c>
      <c r="H338" s="3089">
        <f t="shared" ca="1" si="47"/>
        <v>0</v>
      </c>
      <c r="I338" s="3091" t="s">
        <v>6803</v>
      </c>
      <c r="J338" s="3070"/>
      <c r="K338" s="3088">
        <f t="shared" si="45"/>
        <v>484649.86</v>
      </c>
      <c r="L338" s="3069" t="s">
        <v>6799</v>
      </c>
      <c r="M338" s="3091" t="s">
        <v>6803</v>
      </c>
      <c r="N338" s="3070"/>
      <c r="O338" s="3097"/>
      <c r="P338" s="3098"/>
      <c r="Q338" s="3098"/>
      <c r="R338" s="3098"/>
      <c r="S338" s="3099" t="s">
        <v>295</v>
      </c>
      <c r="T338" s="3099" t="s">
        <v>213</v>
      </c>
      <c r="U338" s="3100"/>
      <c r="V338" s="3100" t="s">
        <v>295</v>
      </c>
      <c r="W338" s="3100" t="s">
        <v>6797</v>
      </c>
      <c r="X338" s="3100" t="s">
        <v>213</v>
      </c>
      <c r="Y338" s="3101" t="s">
        <v>164</v>
      </c>
    </row>
    <row r="339" spans="1:25" ht="24" hidden="1">
      <c r="A339" s="1304"/>
      <c r="B339" s="643">
        <v>7101</v>
      </c>
      <c r="C339" s="643" t="s">
        <v>1963</v>
      </c>
      <c r="D339" s="3085">
        <v>2</v>
      </c>
      <c r="E339" s="3086" t="str">
        <f t="shared" si="53"/>
        <v>收回投资收到的现金</v>
      </c>
      <c r="F339" s="3087" t="s">
        <v>1964</v>
      </c>
      <c r="G339" s="3088">
        <f t="shared" si="54"/>
        <v>0</v>
      </c>
      <c r="H339" s="3089">
        <f t="shared" ca="1" si="47"/>
        <v>0</v>
      </c>
      <c r="I339" s="3091" t="s">
        <v>6803</v>
      </c>
      <c r="J339" s="3070"/>
      <c r="K339" s="3088">
        <f t="shared" si="45"/>
        <v>0</v>
      </c>
      <c r="L339" s="3069" t="s">
        <v>6799</v>
      </c>
      <c r="M339" s="3091" t="s">
        <v>6803</v>
      </c>
      <c r="N339" s="3070"/>
      <c r="O339" s="3097"/>
      <c r="P339" s="3098"/>
      <c r="Q339" s="3098"/>
      <c r="R339" s="3098"/>
      <c r="S339" s="3099" t="s">
        <v>295</v>
      </c>
      <c r="T339" s="3099" t="s">
        <v>213</v>
      </c>
      <c r="U339" s="3100"/>
      <c r="V339" s="3100" t="s">
        <v>295</v>
      </c>
      <c r="W339" s="3100" t="s">
        <v>6797</v>
      </c>
      <c r="X339" s="3100" t="s">
        <v>213</v>
      </c>
      <c r="Y339" s="3101" t="s">
        <v>164</v>
      </c>
    </row>
    <row r="340" spans="1:25" ht="24" hidden="1">
      <c r="A340" s="1304"/>
      <c r="B340" s="643">
        <v>7105</v>
      </c>
      <c r="C340" s="643" t="s">
        <v>1965</v>
      </c>
      <c r="D340" s="3085">
        <v>2</v>
      </c>
      <c r="E340" s="3086" t="str">
        <f t="shared" si="53"/>
        <v>取得投资收益收到的现金</v>
      </c>
      <c r="F340" s="3087" t="s">
        <v>1966</v>
      </c>
      <c r="G340" s="3088">
        <f t="shared" si="54"/>
        <v>0</v>
      </c>
      <c r="H340" s="3089">
        <f t="shared" ca="1" si="47"/>
        <v>0</v>
      </c>
      <c r="I340" s="3091" t="s">
        <v>6803</v>
      </c>
      <c r="J340" s="3070"/>
      <c r="K340" s="3088">
        <f t="shared" si="45"/>
        <v>0</v>
      </c>
      <c r="L340" s="3069" t="s">
        <v>6799</v>
      </c>
      <c r="M340" s="3091" t="s">
        <v>6803</v>
      </c>
      <c r="N340" s="3070"/>
      <c r="O340" s="3097"/>
      <c r="P340" s="3098"/>
      <c r="Q340" s="3098"/>
      <c r="R340" s="3098"/>
      <c r="S340" s="3099" t="s">
        <v>295</v>
      </c>
      <c r="T340" s="3099" t="s">
        <v>213</v>
      </c>
      <c r="U340" s="3100"/>
      <c r="V340" s="3100" t="s">
        <v>295</v>
      </c>
      <c r="W340" s="3100" t="s">
        <v>6797</v>
      </c>
      <c r="X340" s="3100" t="s">
        <v>213</v>
      </c>
      <c r="Y340" s="3101" t="s">
        <v>164</v>
      </c>
    </row>
    <row r="341" spans="1:25" ht="36" hidden="1">
      <c r="A341" s="1304"/>
      <c r="B341" s="643">
        <v>7111</v>
      </c>
      <c r="C341" s="643" t="s">
        <v>1967</v>
      </c>
      <c r="D341" s="3085">
        <v>2</v>
      </c>
      <c r="E341" s="3086" t="str">
        <f t="shared" si="53"/>
        <v>处置固定资产无形资产长期资产收回的现金</v>
      </c>
      <c r="F341" s="3087" t="s">
        <v>1968</v>
      </c>
      <c r="G341" s="3088">
        <f t="shared" si="54"/>
        <v>0</v>
      </c>
      <c r="H341" s="3089">
        <f t="shared" ca="1" si="47"/>
        <v>0</v>
      </c>
      <c r="I341" s="3091" t="s">
        <v>6803</v>
      </c>
      <c r="J341" s="3070"/>
      <c r="K341" s="3088">
        <f t="shared" si="45"/>
        <v>0</v>
      </c>
      <c r="L341" s="3069" t="s">
        <v>6799</v>
      </c>
      <c r="M341" s="3091" t="s">
        <v>6803</v>
      </c>
      <c r="N341" s="3070"/>
      <c r="O341" s="3097"/>
      <c r="P341" s="3098"/>
      <c r="Q341" s="3098"/>
      <c r="R341" s="3098"/>
      <c r="S341" s="3099" t="s">
        <v>295</v>
      </c>
      <c r="T341" s="3099" t="s">
        <v>213</v>
      </c>
      <c r="U341" s="3100"/>
      <c r="V341" s="3100" t="s">
        <v>295</v>
      </c>
      <c r="W341" s="3100" t="s">
        <v>6797</v>
      </c>
      <c r="X341" s="3100" t="s">
        <v>213</v>
      </c>
      <c r="Y341" s="3101" t="s">
        <v>164</v>
      </c>
    </row>
    <row r="342" spans="1:25" ht="36" hidden="1">
      <c r="A342" s="1304"/>
      <c r="B342" s="643">
        <v>7151</v>
      </c>
      <c r="C342" s="643" t="s">
        <v>1973</v>
      </c>
      <c r="D342" s="3085">
        <v>2</v>
      </c>
      <c r="E342" s="3086" t="str">
        <f t="shared" si="53"/>
        <v>购置固定资产无形资产长期资产支付的现金</v>
      </c>
      <c r="F342" s="3087" t="s">
        <v>1974</v>
      </c>
      <c r="G342" s="3088">
        <f t="shared" si="54"/>
        <v>0</v>
      </c>
      <c r="H342" s="3089">
        <f t="shared" ca="1" si="47"/>
        <v>0</v>
      </c>
      <c r="I342" s="3091" t="s">
        <v>6803</v>
      </c>
      <c r="J342" s="3070"/>
      <c r="K342" s="3088">
        <f t="shared" si="45"/>
        <v>0</v>
      </c>
      <c r="L342" s="3069" t="s">
        <v>6799</v>
      </c>
      <c r="M342" s="3091" t="s">
        <v>6803</v>
      </c>
      <c r="N342" s="3070"/>
      <c r="O342" s="3097"/>
      <c r="P342" s="3098"/>
      <c r="Q342" s="3098"/>
      <c r="R342" s="3098"/>
      <c r="S342" s="3099" t="s">
        <v>295</v>
      </c>
      <c r="T342" s="3099" t="s">
        <v>213</v>
      </c>
      <c r="U342" s="3100"/>
      <c r="V342" s="3100" t="s">
        <v>295</v>
      </c>
      <c r="W342" s="3100" t="s">
        <v>6797</v>
      </c>
      <c r="X342" s="3100" t="s">
        <v>213</v>
      </c>
      <c r="Y342" s="3101" t="s">
        <v>164</v>
      </c>
    </row>
    <row r="343" spans="1:25" ht="18" hidden="1">
      <c r="A343" s="1304"/>
      <c r="B343" s="643">
        <v>7161</v>
      </c>
      <c r="C343" s="643" t="s">
        <v>1975</v>
      </c>
      <c r="D343" s="3085">
        <v>2</v>
      </c>
      <c r="E343" s="3086" t="str">
        <f t="shared" si="53"/>
        <v>投资支付的现金</v>
      </c>
      <c r="F343" s="3087" t="s">
        <v>1976</v>
      </c>
      <c r="G343" s="3088">
        <f t="shared" si="54"/>
        <v>0</v>
      </c>
      <c r="H343" s="3089">
        <f t="shared" ca="1" si="47"/>
        <v>0</v>
      </c>
      <c r="I343" s="3091" t="s">
        <v>6803</v>
      </c>
      <c r="J343" s="3070"/>
      <c r="K343" s="3088">
        <f t="shared" si="45"/>
        <v>0</v>
      </c>
      <c r="L343" s="3069" t="s">
        <v>6799</v>
      </c>
      <c r="M343" s="3091" t="s">
        <v>6803</v>
      </c>
      <c r="N343" s="3070"/>
      <c r="O343" s="3097"/>
      <c r="P343" s="3098"/>
      <c r="Q343" s="3098"/>
      <c r="R343" s="3098"/>
      <c r="S343" s="3099" t="s">
        <v>295</v>
      </c>
      <c r="T343" s="3099" t="s">
        <v>213</v>
      </c>
      <c r="U343" s="3100"/>
      <c r="V343" s="3100" t="s">
        <v>295</v>
      </c>
      <c r="W343" s="3100" t="s">
        <v>6797</v>
      </c>
      <c r="X343" s="3100" t="s">
        <v>213</v>
      </c>
      <c r="Y343" s="3101" t="s">
        <v>164</v>
      </c>
    </row>
    <row r="344" spans="1:25" ht="24" hidden="1">
      <c r="A344" s="1304"/>
      <c r="B344" s="643">
        <v>7211</v>
      </c>
      <c r="C344" s="643" t="s">
        <v>1980</v>
      </c>
      <c r="D344" s="3085">
        <v>2</v>
      </c>
      <c r="E344" s="3086" t="str">
        <f t="shared" si="53"/>
        <v>取得借款收到的现金</v>
      </c>
      <c r="F344" s="3087" t="s">
        <v>1981</v>
      </c>
      <c r="G344" s="3088">
        <f t="shared" si="54"/>
        <v>0</v>
      </c>
      <c r="H344" s="3089">
        <f t="shared" ca="1" si="47"/>
        <v>0</v>
      </c>
      <c r="I344" s="3091" t="s">
        <v>6803</v>
      </c>
      <c r="J344" s="3070"/>
      <c r="K344" s="3088">
        <f t="shared" si="45"/>
        <v>0</v>
      </c>
      <c r="L344" s="3069" t="s">
        <v>6799</v>
      </c>
      <c r="M344" s="3091" t="s">
        <v>6803</v>
      </c>
      <c r="N344" s="3070"/>
      <c r="O344" s="3097"/>
      <c r="P344" s="3098"/>
      <c r="Q344" s="3098"/>
      <c r="R344" s="3098"/>
      <c r="S344" s="3099" t="s">
        <v>295</v>
      </c>
      <c r="T344" s="3099" t="s">
        <v>213</v>
      </c>
      <c r="U344" s="3100"/>
      <c r="V344" s="3100" t="s">
        <v>295</v>
      </c>
      <c r="W344" s="3100" t="s">
        <v>6797</v>
      </c>
      <c r="X344" s="3100" t="s">
        <v>213</v>
      </c>
      <c r="Y344" s="3101" t="s">
        <v>164</v>
      </c>
    </row>
    <row r="345" spans="1:25" ht="24" hidden="1">
      <c r="A345" s="1304"/>
      <c r="B345" s="643">
        <v>7251</v>
      </c>
      <c r="C345" s="643" t="s">
        <v>1986</v>
      </c>
      <c r="D345" s="3085">
        <v>2</v>
      </c>
      <c r="E345" s="3086" t="str">
        <f t="shared" si="53"/>
        <v>偿还债务支付的现金</v>
      </c>
      <c r="F345" s="3087" t="s">
        <v>1987</v>
      </c>
      <c r="G345" s="3088">
        <f t="shared" si="54"/>
        <v>0</v>
      </c>
      <c r="H345" s="3089">
        <f t="shared" ca="1" si="47"/>
        <v>0</v>
      </c>
      <c r="I345" s="3091" t="s">
        <v>6803</v>
      </c>
      <c r="J345" s="3070"/>
      <c r="K345" s="3088">
        <f t="shared" si="45"/>
        <v>0</v>
      </c>
      <c r="L345" s="3069" t="s">
        <v>6799</v>
      </c>
      <c r="M345" s="3091" t="s">
        <v>6803</v>
      </c>
      <c r="N345" s="3070"/>
      <c r="O345" s="3097"/>
      <c r="P345" s="3098"/>
      <c r="Q345" s="3098"/>
      <c r="R345" s="3098"/>
      <c r="S345" s="3099" t="s">
        <v>295</v>
      </c>
      <c r="T345" s="3099" t="s">
        <v>213</v>
      </c>
      <c r="U345" s="3100"/>
      <c r="V345" s="3100" t="s">
        <v>295</v>
      </c>
      <c r="W345" s="3100" t="s">
        <v>6797</v>
      </c>
      <c r="X345" s="3100" t="s">
        <v>213</v>
      </c>
      <c r="Y345" s="3101" t="s">
        <v>164</v>
      </c>
    </row>
    <row r="346" spans="1:25" ht="24" hidden="1">
      <c r="A346" s="1304"/>
      <c r="B346" s="643">
        <v>7261</v>
      </c>
      <c r="C346" s="643" t="s">
        <v>1988</v>
      </c>
      <c r="D346" s="3085">
        <v>2</v>
      </c>
      <c r="E346" s="3086" t="str">
        <f t="shared" si="53"/>
        <v>分配利润偿付利息支付的现金</v>
      </c>
      <c r="F346" s="3087" t="s">
        <v>1989</v>
      </c>
      <c r="G346" s="3088">
        <f t="shared" si="54"/>
        <v>0</v>
      </c>
      <c r="H346" s="3089">
        <f t="shared" ca="1" si="47"/>
        <v>0</v>
      </c>
      <c r="I346" s="3091" t="s">
        <v>6803</v>
      </c>
      <c r="J346" s="3070"/>
      <c r="K346" s="3088">
        <f t="shared" si="45"/>
        <v>0</v>
      </c>
      <c r="L346" s="3069" t="s">
        <v>6799</v>
      </c>
      <c r="M346" s="3091" t="s">
        <v>6803</v>
      </c>
      <c r="N346" s="3070"/>
      <c r="O346" s="3097"/>
      <c r="P346" s="3098"/>
      <c r="Q346" s="3098"/>
      <c r="R346" s="3098"/>
      <c r="S346" s="3099" t="s">
        <v>295</v>
      </c>
      <c r="T346" s="3099" t="s">
        <v>213</v>
      </c>
      <c r="U346" s="3100"/>
      <c r="V346" s="3100" t="s">
        <v>295</v>
      </c>
      <c r="W346" s="3100" t="s">
        <v>6797</v>
      </c>
      <c r="X346" s="3100" t="s">
        <v>213</v>
      </c>
      <c r="Y346" s="3101" t="s">
        <v>164</v>
      </c>
    </row>
    <row r="347" spans="1:25" ht="24" hidden="1">
      <c r="A347" s="1304"/>
      <c r="B347" s="643"/>
      <c r="C347" s="643" t="s">
        <v>1993</v>
      </c>
      <c r="D347" s="3085">
        <v>3</v>
      </c>
      <c r="E347" s="3086" t="str">
        <f t="shared" si="53"/>
        <v xml:space="preserve">        ----</v>
      </c>
      <c r="F347" s="3087" t="s">
        <v>1994</v>
      </c>
      <c r="G347" s="3088" t="str">
        <f t="shared" si="54"/>
        <v xml:space="preserve">        ----</v>
      </c>
      <c r="H347" s="3089" t="s">
        <v>6799</v>
      </c>
      <c r="I347" s="3091" t="s">
        <v>6803</v>
      </c>
      <c r="J347" s="3070"/>
      <c r="K347" s="3088" t="str">
        <f t="shared" si="45"/>
        <v xml:space="preserve">        ----</v>
      </c>
      <c r="L347" s="3069" t="s">
        <v>6799</v>
      </c>
      <c r="M347" s="3091" t="s">
        <v>6803</v>
      </c>
      <c r="N347" s="3070"/>
      <c r="O347" s="3097"/>
      <c r="P347" s="3098"/>
      <c r="Q347" s="3098"/>
      <c r="R347" s="3098"/>
      <c r="S347" s="3099" t="s">
        <v>295</v>
      </c>
      <c r="T347" s="3099" t="s">
        <v>213</v>
      </c>
      <c r="U347" s="3100"/>
      <c r="V347" s="3100" t="s">
        <v>295</v>
      </c>
      <c r="W347" s="3100" t="s">
        <v>6797</v>
      </c>
      <c r="X347" s="3100" t="s">
        <v>6798</v>
      </c>
      <c r="Y347" s="3101" t="s">
        <v>164</v>
      </c>
    </row>
    <row r="348" spans="1:25" ht="24" hidden="1">
      <c r="A348" s="1304"/>
      <c r="B348" s="643"/>
      <c r="C348" s="643" t="s">
        <v>1996</v>
      </c>
      <c r="D348" s="3085">
        <v>3</v>
      </c>
      <c r="E348" s="3086" t="str">
        <f t="shared" si="53"/>
        <v xml:space="preserve">        ----</v>
      </c>
      <c r="F348" s="3087" t="s">
        <v>1997</v>
      </c>
      <c r="G348" s="3088" t="str">
        <f t="shared" si="54"/>
        <v xml:space="preserve">        ----</v>
      </c>
      <c r="H348" s="3089" t="s">
        <v>6799</v>
      </c>
      <c r="I348" s="3091" t="s">
        <v>6803</v>
      </c>
      <c r="J348" s="3070"/>
      <c r="K348" s="3088" t="str">
        <f t="shared" si="45"/>
        <v xml:space="preserve">        ----</v>
      </c>
      <c r="L348" s="3069" t="s">
        <v>6799</v>
      </c>
      <c r="M348" s="3091" t="s">
        <v>6803</v>
      </c>
      <c r="N348" s="3070"/>
      <c r="O348" s="3097"/>
      <c r="P348" s="3098"/>
      <c r="Q348" s="3098"/>
      <c r="R348" s="3098"/>
      <c r="S348" s="3099" t="s">
        <v>295</v>
      </c>
      <c r="T348" s="3099" t="s">
        <v>213</v>
      </c>
      <c r="U348" s="3100"/>
      <c r="V348" s="3100" t="s">
        <v>295</v>
      </c>
      <c r="W348" s="3100" t="s">
        <v>6797</v>
      </c>
      <c r="X348" s="3100" t="s">
        <v>6798</v>
      </c>
      <c r="Y348" s="3101" t="s">
        <v>164</v>
      </c>
    </row>
    <row r="349" spans="1:25" ht="24" hidden="1">
      <c r="A349" s="1304"/>
      <c r="B349" s="643"/>
      <c r="C349" s="643" t="s">
        <v>1998</v>
      </c>
      <c r="D349" s="3085">
        <v>3</v>
      </c>
      <c r="E349" s="3086" t="str">
        <f t="shared" si="53"/>
        <v xml:space="preserve">        ----</v>
      </c>
      <c r="F349" s="3087" t="s">
        <v>1999</v>
      </c>
      <c r="G349" s="3088" t="str">
        <f t="shared" si="54"/>
        <v xml:space="preserve">        ----</v>
      </c>
      <c r="H349" s="3089" t="s">
        <v>6799</v>
      </c>
      <c r="I349" s="3091" t="s">
        <v>6803</v>
      </c>
      <c r="J349" s="3070"/>
      <c r="K349" s="3088" t="str">
        <f t="shared" si="45"/>
        <v xml:space="preserve">        ----</v>
      </c>
      <c r="L349" s="3069" t="s">
        <v>6799</v>
      </c>
      <c r="M349" s="3091" t="s">
        <v>6803</v>
      </c>
      <c r="N349" s="3070"/>
      <c r="O349" s="3097"/>
      <c r="P349" s="3098"/>
      <c r="Q349" s="3098"/>
      <c r="R349" s="3098"/>
      <c r="S349" s="3099" t="s">
        <v>295</v>
      </c>
      <c r="T349" s="3099" t="s">
        <v>213</v>
      </c>
      <c r="U349" s="3100"/>
      <c r="V349" s="3100" t="s">
        <v>295</v>
      </c>
      <c r="W349" s="3100" t="s">
        <v>6797</v>
      </c>
      <c r="X349" s="3100" t="s">
        <v>6798</v>
      </c>
      <c r="Y349" s="3101" t="s">
        <v>164</v>
      </c>
    </row>
    <row r="350" spans="1:25" ht="24" hidden="1">
      <c r="A350" s="1304"/>
      <c r="B350" s="643"/>
      <c r="C350" s="643" t="s">
        <v>2008</v>
      </c>
      <c r="D350" s="3085">
        <v>3</v>
      </c>
      <c r="E350" s="3086" t="str">
        <f t="shared" si="53"/>
        <v xml:space="preserve">        ----</v>
      </c>
      <c r="F350" s="3087" t="s">
        <v>2009</v>
      </c>
      <c r="G350" s="3088" t="str">
        <f t="shared" si="54"/>
        <v xml:space="preserve">        ----</v>
      </c>
      <c r="H350" s="3089" t="s">
        <v>6799</v>
      </c>
      <c r="I350" s="3091" t="s">
        <v>6803</v>
      </c>
      <c r="J350" s="3070"/>
      <c r="K350" s="3088" t="str">
        <f t="shared" si="45"/>
        <v xml:space="preserve">        ----</v>
      </c>
      <c r="L350" s="3069" t="s">
        <v>6799</v>
      </c>
      <c r="M350" s="3091" t="s">
        <v>6803</v>
      </c>
      <c r="N350" s="3070"/>
      <c r="O350" s="3097"/>
      <c r="P350" s="3098"/>
      <c r="Q350" s="3098"/>
      <c r="R350" s="3098"/>
      <c r="S350" s="3099" t="s">
        <v>295</v>
      </c>
      <c r="T350" s="3099" t="s">
        <v>213</v>
      </c>
      <c r="U350" s="3100"/>
      <c r="V350" s="3100" t="s">
        <v>295</v>
      </c>
      <c r="W350" s="3100" t="s">
        <v>6797</v>
      </c>
      <c r="X350" s="3100" t="s">
        <v>6800</v>
      </c>
      <c r="Y350" s="3101" t="s">
        <v>164</v>
      </c>
    </row>
    <row r="351" spans="1:25" ht="24" hidden="1">
      <c r="A351" s="1304"/>
      <c r="B351" s="643"/>
      <c r="C351" s="643" t="s">
        <v>2010</v>
      </c>
      <c r="D351" s="3085">
        <v>3</v>
      </c>
      <c r="E351" s="3086" t="str">
        <f t="shared" si="53"/>
        <v xml:space="preserve">        ----</v>
      </c>
      <c r="F351" s="3087" t="s">
        <v>2011</v>
      </c>
      <c r="G351" s="3088" t="str">
        <f t="shared" si="54"/>
        <v xml:space="preserve">        ----</v>
      </c>
      <c r="H351" s="3089" t="s">
        <v>6799</v>
      </c>
      <c r="I351" s="3091" t="s">
        <v>6803</v>
      </c>
      <c r="J351" s="3070"/>
      <c r="K351" s="3088" t="str">
        <f t="shared" ref="K351:K408" si="55">IF(ISERROR(VLOOKUP($B351,Sheet_Trialbal,10,0)),"        ----",VLOOKUP($B351,Sheet_Trialbal,10,0))</f>
        <v xml:space="preserve">        ----</v>
      </c>
      <c r="L351" s="3069" t="s">
        <v>6799</v>
      </c>
      <c r="M351" s="3091" t="s">
        <v>6803</v>
      </c>
      <c r="N351" s="3070"/>
      <c r="O351" s="3097"/>
      <c r="P351" s="3098"/>
      <c r="Q351" s="3098"/>
      <c r="R351" s="3098"/>
      <c r="S351" s="3099" t="s">
        <v>295</v>
      </c>
      <c r="T351" s="3099" t="s">
        <v>213</v>
      </c>
      <c r="U351" s="3100"/>
      <c r="V351" s="3100" t="s">
        <v>295</v>
      </c>
      <c r="W351" s="3100" t="s">
        <v>6797</v>
      </c>
      <c r="X351" s="3100" t="s">
        <v>6800</v>
      </c>
      <c r="Y351" s="3101" t="s">
        <v>164</v>
      </c>
    </row>
    <row r="352" spans="1:25" ht="24" hidden="1">
      <c r="A352" s="1304"/>
      <c r="B352" s="643"/>
      <c r="C352" s="643" t="s">
        <v>2003</v>
      </c>
      <c r="D352" s="3085">
        <v>3</v>
      </c>
      <c r="E352" s="3086" t="str">
        <f t="shared" si="53"/>
        <v xml:space="preserve">        ----</v>
      </c>
      <c r="F352" s="3087" t="s">
        <v>2004</v>
      </c>
      <c r="G352" s="3088" t="str">
        <f t="shared" si="54"/>
        <v xml:space="preserve">        ----</v>
      </c>
      <c r="H352" s="3089" t="s">
        <v>6799</v>
      </c>
      <c r="I352" s="3091" t="s">
        <v>6803</v>
      </c>
      <c r="J352" s="3070"/>
      <c r="K352" s="3088" t="str">
        <f t="shared" si="55"/>
        <v xml:space="preserve">        ----</v>
      </c>
      <c r="L352" s="3069" t="s">
        <v>6799</v>
      </c>
      <c r="M352" s="3091" t="s">
        <v>6803</v>
      </c>
      <c r="N352" s="3070"/>
      <c r="O352" s="3097"/>
      <c r="P352" s="3098"/>
      <c r="Q352" s="3098"/>
      <c r="R352" s="3098"/>
      <c r="S352" s="3099" t="s">
        <v>295</v>
      </c>
      <c r="T352" s="3099" t="s">
        <v>213</v>
      </c>
      <c r="U352" s="3100"/>
      <c r="V352" s="3100" t="s">
        <v>295</v>
      </c>
      <c r="W352" s="3100" t="s">
        <v>6797</v>
      </c>
      <c r="X352" s="3100" t="s">
        <v>6798</v>
      </c>
      <c r="Y352" s="3101" t="s">
        <v>164</v>
      </c>
    </row>
    <row r="353" spans="1:25" ht="24" hidden="1">
      <c r="A353" s="1304"/>
      <c r="B353" s="643"/>
      <c r="C353" s="643" t="s">
        <v>2006</v>
      </c>
      <c r="D353" s="3085">
        <v>3</v>
      </c>
      <c r="E353" s="3086" t="str">
        <f t="shared" si="53"/>
        <v xml:space="preserve">        ----</v>
      </c>
      <c r="F353" s="3087" t="s">
        <v>2007</v>
      </c>
      <c r="G353" s="3088" t="str">
        <f t="shared" si="54"/>
        <v xml:space="preserve">        ----</v>
      </c>
      <c r="H353" s="3089" t="s">
        <v>6799</v>
      </c>
      <c r="I353" s="3091" t="s">
        <v>6803</v>
      </c>
      <c r="J353" s="3070"/>
      <c r="K353" s="3088" t="str">
        <f t="shared" si="55"/>
        <v xml:space="preserve">        ----</v>
      </c>
      <c r="L353" s="3069" t="s">
        <v>6799</v>
      </c>
      <c r="M353" s="3091" t="s">
        <v>6803</v>
      </c>
      <c r="N353" s="3070"/>
      <c r="O353" s="3097"/>
      <c r="P353" s="3098"/>
      <c r="Q353" s="3098"/>
      <c r="R353" s="3098"/>
      <c r="S353" s="3099" t="s">
        <v>295</v>
      </c>
      <c r="T353" s="3099" t="s">
        <v>213</v>
      </c>
      <c r="U353" s="3100"/>
      <c r="V353" s="3100" t="s">
        <v>295</v>
      </c>
      <c r="W353" s="3100" t="s">
        <v>6797</v>
      </c>
      <c r="X353" s="3100" t="s">
        <v>213</v>
      </c>
      <c r="Y353" s="3101" t="s">
        <v>164</v>
      </c>
    </row>
    <row r="354" spans="1:25" ht="36" hidden="1">
      <c r="A354" s="1304"/>
      <c r="B354" s="643"/>
      <c r="C354" s="643" t="s">
        <v>2012</v>
      </c>
      <c r="D354" s="3085">
        <v>3</v>
      </c>
      <c r="E354" s="3086" t="str">
        <f t="shared" si="53"/>
        <v xml:space="preserve">        ----</v>
      </c>
      <c r="F354" s="3087" t="s">
        <v>2013</v>
      </c>
      <c r="G354" s="3088" t="str">
        <f t="shared" si="54"/>
        <v xml:space="preserve">        ----</v>
      </c>
      <c r="H354" s="3089">
        <f t="shared" ref="H354:H368" ca="1" si="56">INDIRECT("Notes!CheckA"&amp;$C354)</f>
        <v>0</v>
      </c>
      <c r="I354" s="3091" t="s">
        <v>6803</v>
      </c>
      <c r="J354" s="3070"/>
      <c r="K354" s="3088" t="str">
        <f t="shared" si="55"/>
        <v xml:space="preserve">        ----</v>
      </c>
      <c r="L354" s="3069" t="s">
        <v>6799</v>
      </c>
      <c r="M354" s="3091" t="s">
        <v>6803</v>
      </c>
      <c r="N354" s="3070"/>
      <c r="O354" s="3097"/>
      <c r="P354" s="3098"/>
      <c r="Q354" s="3098"/>
      <c r="R354" s="3098"/>
      <c r="S354" s="3099" t="s">
        <v>295</v>
      </c>
      <c r="T354" s="3099" t="s">
        <v>213</v>
      </c>
      <c r="U354" s="3100"/>
      <c r="V354" s="3100" t="s">
        <v>295</v>
      </c>
      <c r="W354" s="3100" t="s">
        <v>6797</v>
      </c>
      <c r="X354" s="3100" t="s">
        <v>213</v>
      </c>
      <c r="Y354" s="3101" t="s">
        <v>164</v>
      </c>
    </row>
    <row r="355" spans="1:25" ht="48" hidden="1">
      <c r="A355" s="1304"/>
      <c r="B355" s="643"/>
      <c r="C355" s="643" t="s">
        <v>2015</v>
      </c>
      <c r="D355" s="3085">
        <v>3</v>
      </c>
      <c r="E355" s="3086" t="str">
        <f t="shared" si="53"/>
        <v xml:space="preserve">        ----</v>
      </c>
      <c r="F355" s="3087" t="s">
        <v>2016</v>
      </c>
      <c r="G355" s="3088" t="str">
        <f t="shared" si="54"/>
        <v xml:space="preserve">        ----</v>
      </c>
      <c r="H355" s="3089">
        <f t="shared" ca="1" si="56"/>
        <v>0</v>
      </c>
      <c r="I355" s="3091" t="s">
        <v>6803</v>
      </c>
      <c r="J355" s="3070"/>
      <c r="K355" s="3088" t="str">
        <f t="shared" si="55"/>
        <v xml:space="preserve">        ----</v>
      </c>
      <c r="L355" s="3069" t="s">
        <v>6799</v>
      </c>
      <c r="M355" s="3091" t="s">
        <v>6803</v>
      </c>
      <c r="N355" s="3070"/>
      <c r="O355" s="3097"/>
      <c r="P355" s="3098"/>
      <c r="Q355" s="3098"/>
      <c r="R355" s="3098"/>
      <c r="S355" s="3099" t="s">
        <v>295</v>
      </c>
      <c r="T355" s="3099" t="s">
        <v>213</v>
      </c>
      <c r="U355" s="3100"/>
      <c r="V355" s="3100" t="s">
        <v>295</v>
      </c>
      <c r="W355" s="3100" t="s">
        <v>6797</v>
      </c>
      <c r="X355" s="3100" t="s">
        <v>213</v>
      </c>
      <c r="Y355" s="3101" t="s">
        <v>164</v>
      </c>
    </row>
    <row r="356" spans="1:25" ht="36" hidden="1">
      <c r="A356" s="1304"/>
      <c r="B356" s="643"/>
      <c r="C356" s="643" t="s">
        <v>2018</v>
      </c>
      <c r="D356" s="3085">
        <v>3</v>
      </c>
      <c r="E356" s="3086" t="str">
        <f t="shared" si="53"/>
        <v xml:space="preserve">        ----</v>
      </c>
      <c r="F356" s="3087" t="s">
        <v>2019</v>
      </c>
      <c r="G356" s="3088" t="str">
        <f t="shared" si="54"/>
        <v xml:space="preserve">        ----</v>
      </c>
      <c r="H356" s="3089">
        <f t="shared" ca="1" si="56"/>
        <v>0</v>
      </c>
      <c r="I356" s="3091" t="s">
        <v>6803</v>
      </c>
      <c r="J356" s="3070"/>
      <c r="K356" s="3088" t="str">
        <f t="shared" si="55"/>
        <v xml:space="preserve">        ----</v>
      </c>
      <c r="L356" s="3069" t="s">
        <v>6799</v>
      </c>
      <c r="M356" s="3091" t="s">
        <v>6803</v>
      </c>
      <c r="N356" s="3070"/>
      <c r="O356" s="3097"/>
      <c r="P356" s="3098"/>
      <c r="Q356" s="3098"/>
      <c r="R356" s="3098"/>
      <c r="S356" s="3099" t="s">
        <v>295</v>
      </c>
      <c r="T356" s="3099" t="s">
        <v>213</v>
      </c>
      <c r="U356" s="3100"/>
      <c r="V356" s="3100" t="s">
        <v>295</v>
      </c>
      <c r="W356" s="3100" t="s">
        <v>6797</v>
      </c>
      <c r="X356" s="3100" t="s">
        <v>213</v>
      </c>
      <c r="Y356" s="3101" t="s">
        <v>164</v>
      </c>
    </row>
    <row r="357" spans="1:25" ht="36" hidden="1">
      <c r="A357" s="1304"/>
      <c r="B357" s="643"/>
      <c r="C357" s="643" t="s">
        <v>2022</v>
      </c>
      <c r="D357" s="3085">
        <v>3</v>
      </c>
      <c r="E357" s="3086" t="str">
        <f t="shared" si="53"/>
        <v xml:space="preserve">        ----</v>
      </c>
      <c r="F357" s="3087" t="s">
        <v>2023</v>
      </c>
      <c r="G357" s="3088" t="str">
        <f t="shared" si="54"/>
        <v xml:space="preserve">        ----</v>
      </c>
      <c r="H357" s="3089">
        <f t="shared" ca="1" si="56"/>
        <v>0</v>
      </c>
      <c r="I357" s="3091" t="s">
        <v>6803</v>
      </c>
      <c r="J357" s="3070"/>
      <c r="K357" s="3088" t="str">
        <f t="shared" si="55"/>
        <v xml:space="preserve">        ----</v>
      </c>
      <c r="L357" s="3069" t="s">
        <v>6799</v>
      </c>
      <c r="M357" s="3091" t="s">
        <v>6803</v>
      </c>
      <c r="N357" s="3070"/>
      <c r="O357" s="3097"/>
      <c r="P357" s="3098"/>
      <c r="Q357" s="3098"/>
      <c r="R357" s="3098"/>
      <c r="S357" s="3099" t="s">
        <v>295</v>
      </c>
      <c r="T357" s="3099" t="s">
        <v>213</v>
      </c>
      <c r="U357" s="3100"/>
      <c r="V357" s="3100" t="s">
        <v>295</v>
      </c>
      <c r="W357" s="3100" t="s">
        <v>6797</v>
      </c>
      <c r="X357" s="3100" t="s">
        <v>213</v>
      </c>
      <c r="Y357" s="3101" t="s">
        <v>164</v>
      </c>
    </row>
    <row r="358" spans="1:25" ht="48" hidden="1">
      <c r="A358" s="1304"/>
      <c r="B358" s="643"/>
      <c r="C358" s="643" t="s">
        <v>2026</v>
      </c>
      <c r="D358" s="3085">
        <v>3</v>
      </c>
      <c r="E358" s="3086" t="str">
        <f t="shared" si="53"/>
        <v xml:space="preserve">        ----</v>
      </c>
      <c r="F358" s="3087" t="s">
        <v>2027</v>
      </c>
      <c r="G358" s="3088" t="str">
        <f t="shared" si="54"/>
        <v xml:space="preserve">        ----</v>
      </c>
      <c r="H358" s="3089">
        <f t="shared" ca="1" si="56"/>
        <v>0</v>
      </c>
      <c r="I358" s="3091" t="s">
        <v>6803</v>
      </c>
      <c r="J358" s="3070"/>
      <c r="K358" s="3088" t="str">
        <f t="shared" si="55"/>
        <v xml:space="preserve">        ----</v>
      </c>
      <c r="L358" s="3069" t="s">
        <v>6799</v>
      </c>
      <c r="M358" s="3091" t="s">
        <v>6803</v>
      </c>
      <c r="N358" s="3070"/>
      <c r="O358" s="3097"/>
      <c r="P358" s="3098"/>
      <c r="Q358" s="3098"/>
      <c r="R358" s="3098"/>
      <c r="S358" s="3099" t="s">
        <v>295</v>
      </c>
      <c r="T358" s="3099" t="s">
        <v>213</v>
      </c>
      <c r="U358" s="3100"/>
      <c r="V358" s="3100" t="s">
        <v>295</v>
      </c>
      <c r="W358" s="3100" t="s">
        <v>6797</v>
      </c>
      <c r="X358" s="3100" t="s">
        <v>213</v>
      </c>
      <c r="Y358" s="3101" t="s">
        <v>164</v>
      </c>
    </row>
    <row r="359" spans="1:25" ht="36" hidden="1">
      <c r="A359" s="1304"/>
      <c r="B359" s="643"/>
      <c r="C359" s="643" t="s">
        <v>2030</v>
      </c>
      <c r="D359" s="3085">
        <v>3</v>
      </c>
      <c r="E359" s="3086" t="str">
        <f t="shared" si="53"/>
        <v xml:space="preserve">        ----</v>
      </c>
      <c r="F359" s="3087" t="s">
        <v>2031</v>
      </c>
      <c r="G359" s="3088" t="str">
        <f t="shared" si="54"/>
        <v xml:space="preserve">        ----</v>
      </c>
      <c r="H359" s="3089">
        <f t="shared" ca="1" si="56"/>
        <v>0</v>
      </c>
      <c r="I359" s="3091" t="s">
        <v>6803</v>
      </c>
      <c r="J359" s="3070"/>
      <c r="K359" s="3088" t="str">
        <f t="shared" si="55"/>
        <v xml:space="preserve">        ----</v>
      </c>
      <c r="L359" s="3069" t="s">
        <v>6799</v>
      </c>
      <c r="M359" s="3091" t="s">
        <v>6803</v>
      </c>
      <c r="N359" s="3070"/>
      <c r="O359" s="3097"/>
      <c r="P359" s="3098"/>
      <c r="Q359" s="3098"/>
      <c r="R359" s="3098"/>
      <c r="S359" s="3099" t="s">
        <v>295</v>
      </c>
      <c r="T359" s="3099" t="s">
        <v>213</v>
      </c>
      <c r="U359" s="3100"/>
      <c r="V359" s="3100" t="s">
        <v>295</v>
      </c>
      <c r="W359" s="3100" t="s">
        <v>6797</v>
      </c>
      <c r="X359" s="3100" t="s">
        <v>213</v>
      </c>
      <c r="Y359" s="3101" t="s">
        <v>164</v>
      </c>
    </row>
    <row r="360" spans="1:25" ht="36" hidden="1">
      <c r="A360" s="1304"/>
      <c r="B360" s="643"/>
      <c r="C360" s="643" t="s">
        <v>2035</v>
      </c>
      <c r="D360" s="3085">
        <v>3</v>
      </c>
      <c r="E360" s="3086" t="str">
        <f t="shared" si="53"/>
        <v xml:space="preserve">        ----</v>
      </c>
      <c r="F360" s="3087" t="s">
        <v>2036</v>
      </c>
      <c r="G360" s="3088" t="str">
        <f t="shared" si="54"/>
        <v xml:space="preserve">        ----</v>
      </c>
      <c r="H360" s="3089">
        <f t="shared" ca="1" si="56"/>
        <v>0</v>
      </c>
      <c r="I360" s="3091" t="s">
        <v>6803</v>
      </c>
      <c r="J360" s="3070"/>
      <c r="K360" s="3088" t="str">
        <f t="shared" si="55"/>
        <v xml:space="preserve">        ----</v>
      </c>
      <c r="L360" s="3069" t="s">
        <v>6799</v>
      </c>
      <c r="M360" s="3091" t="s">
        <v>6803</v>
      </c>
      <c r="N360" s="3070"/>
      <c r="O360" s="3097"/>
      <c r="P360" s="3098"/>
      <c r="Q360" s="3098"/>
      <c r="R360" s="3098"/>
      <c r="S360" s="3099" t="s">
        <v>295</v>
      </c>
      <c r="T360" s="3099" t="s">
        <v>213</v>
      </c>
      <c r="U360" s="3100"/>
      <c r="V360" s="3100" t="s">
        <v>295</v>
      </c>
      <c r="W360" s="3100" t="s">
        <v>6797</v>
      </c>
      <c r="X360" s="3100" t="s">
        <v>213</v>
      </c>
      <c r="Y360" s="3101" t="s">
        <v>164</v>
      </c>
    </row>
    <row r="361" spans="1:25" ht="36" hidden="1">
      <c r="A361" s="1304"/>
      <c r="B361" s="643"/>
      <c r="C361" s="643" t="s">
        <v>2038</v>
      </c>
      <c r="D361" s="3085">
        <v>3</v>
      </c>
      <c r="E361" s="3086" t="str">
        <f t="shared" si="53"/>
        <v xml:space="preserve">        ----</v>
      </c>
      <c r="F361" s="3087" t="s">
        <v>2039</v>
      </c>
      <c r="G361" s="3088" t="str">
        <f t="shared" si="54"/>
        <v xml:space="preserve">        ----</v>
      </c>
      <c r="H361" s="3089">
        <f t="shared" ca="1" si="56"/>
        <v>0</v>
      </c>
      <c r="I361" s="3091" t="s">
        <v>6803</v>
      </c>
      <c r="J361" s="3070"/>
      <c r="K361" s="3088" t="str">
        <f t="shared" si="55"/>
        <v xml:space="preserve">        ----</v>
      </c>
      <c r="L361" s="3069" t="s">
        <v>6799</v>
      </c>
      <c r="M361" s="3091" t="s">
        <v>6803</v>
      </c>
      <c r="N361" s="3070"/>
      <c r="O361" s="3097"/>
      <c r="P361" s="3098"/>
      <c r="Q361" s="3098"/>
      <c r="R361" s="3098"/>
      <c r="S361" s="3099" t="s">
        <v>295</v>
      </c>
      <c r="T361" s="3099" t="s">
        <v>213</v>
      </c>
      <c r="U361" s="3100"/>
      <c r="V361" s="3100" t="s">
        <v>295</v>
      </c>
      <c r="W361" s="3100" t="s">
        <v>6797</v>
      </c>
      <c r="X361" s="3100" t="s">
        <v>213</v>
      </c>
      <c r="Y361" s="3101" t="s">
        <v>164</v>
      </c>
    </row>
    <row r="362" spans="1:25" ht="24" hidden="1">
      <c r="A362" s="1304"/>
      <c r="B362" s="643"/>
      <c r="C362" s="643" t="s">
        <v>2042</v>
      </c>
      <c r="D362" s="3085">
        <v>3</v>
      </c>
      <c r="E362" s="3086" t="str">
        <f t="shared" si="53"/>
        <v xml:space="preserve">        ----</v>
      </c>
      <c r="F362" s="3087" t="s">
        <v>2043</v>
      </c>
      <c r="G362" s="3088" t="str">
        <f t="shared" si="54"/>
        <v xml:space="preserve">        ----</v>
      </c>
      <c r="H362" s="3089">
        <f t="shared" ca="1" si="56"/>
        <v>0</v>
      </c>
      <c r="I362" s="3091" t="s">
        <v>6803</v>
      </c>
      <c r="J362" s="3070"/>
      <c r="K362" s="3088" t="str">
        <f t="shared" si="55"/>
        <v xml:space="preserve">        ----</v>
      </c>
      <c r="L362" s="3069" t="s">
        <v>6799</v>
      </c>
      <c r="M362" s="3091" t="s">
        <v>6803</v>
      </c>
      <c r="N362" s="3070"/>
      <c r="O362" s="3097"/>
      <c r="P362" s="3098"/>
      <c r="Q362" s="3098"/>
      <c r="R362" s="3098"/>
      <c r="S362" s="3099" t="s">
        <v>295</v>
      </c>
      <c r="T362" s="3099" t="s">
        <v>213</v>
      </c>
      <c r="U362" s="3100"/>
      <c r="V362" s="3100" t="s">
        <v>295</v>
      </c>
      <c r="W362" s="3100" t="s">
        <v>6797</v>
      </c>
      <c r="X362" s="3100" t="s">
        <v>213</v>
      </c>
      <c r="Y362" s="3101" t="s">
        <v>164</v>
      </c>
    </row>
    <row r="363" spans="1:25" ht="36" hidden="1">
      <c r="A363" s="1304"/>
      <c r="B363" s="643"/>
      <c r="C363" s="643" t="s">
        <v>2045</v>
      </c>
      <c r="D363" s="3085">
        <v>3</v>
      </c>
      <c r="E363" s="3086" t="str">
        <f t="shared" si="53"/>
        <v xml:space="preserve">        ----</v>
      </c>
      <c r="F363" s="3087" t="s">
        <v>2046</v>
      </c>
      <c r="G363" s="3088" t="str">
        <f t="shared" si="54"/>
        <v xml:space="preserve">        ----</v>
      </c>
      <c r="H363" s="3089">
        <f t="shared" ca="1" si="56"/>
        <v>0</v>
      </c>
      <c r="I363" s="3091" t="s">
        <v>6803</v>
      </c>
      <c r="J363" s="3070"/>
      <c r="K363" s="3088" t="str">
        <f t="shared" si="55"/>
        <v xml:space="preserve">        ----</v>
      </c>
      <c r="L363" s="3069" t="s">
        <v>6799</v>
      </c>
      <c r="M363" s="3091" t="s">
        <v>6803</v>
      </c>
      <c r="N363" s="3070"/>
      <c r="O363" s="3097"/>
      <c r="P363" s="3098"/>
      <c r="Q363" s="3098"/>
      <c r="R363" s="3098"/>
      <c r="S363" s="3099" t="s">
        <v>295</v>
      </c>
      <c r="T363" s="3099" t="s">
        <v>213</v>
      </c>
      <c r="U363" s="3100"/>
      <c r="V363" s="3100" t="s">
        <v>295</v>
      </c>
      <c r="W363" s="3100" t="s">
        <v>6797</v>
      </c>
      <c r="X363" s="3100" t="s">
        <v>213</v>
      </c>
      <c r="Y363" s="3101" t="s">
        <v>164</v>
      </c>
    </row>
    <row r="364" spans="1:25" ht="36" hidden="1">
      <c r="A364" s="1304"/>
      <c r="B364" s="643"/>
      <c r="C364" s="643" t="s">
        <v>2048</v>
      </c>
      <c r="D364" s="3085">
        <v>3</v>
      </c>
      <c r="E364" s="3086" t="str">
        <f t="shared" si="53"/>
        <v xml:space="preserve">        ----</v>
      </c>
      <c r="F364" s="3087" t="s">
        <v>2049</v>
      </c>
      <c r="G364" s="3088" t="str">
        <f t="shared" si="54"/>
        <v xml:space="preserve">        ----</v>
      </c>
      <c r="H364" s="3089">
        <f t="shared" ca="1" si="56"/>
        <v>0</v>
      </c>
      <c r="I364" s="3091" t="s">
        <v>6803</v>
      </c>
      <c r="J364" s="3070"/>
      <c r="K364" s="3088" t="str">
        <f t="shared" si="55"/>
        <v xml:space="preserve">        ----</v>
      </c>
      <c r="L364" s="3069" t="s">
        <v>6799</v>
      </c>
      <c r="M364" s="3091" t="s">
        <v>6803</v>
      </c>
      <c r="N364" s="3070"/>
      <c r="O364" s="3097"/>
      <c r="P364" s="3098"/>
      <c r="Q364" s="3098"/>
      <c r="R364" s="3098"/>
      <c r="S364" s="3099" t="s">
        <v>295</v>
      </c>
      <c r="T364" s="3099" t="s">
        <v>213</v>
      </c>
      <c r="U364" s="3100"/>
      <c r="V364" s="3100" t="s">
        <v>295</v>
      </c>
      <c r="W364" s="3100" t="s">
        <v>6797</v>
      </c>
      <c r="X364" s="3100" t="s">
        <v>213</v>
      </c>
      <c r="Y364" s="3101" t="s">
        <v>164</v>
      </c>
    </row>
    <row r="365" spans="1:25" ht="36" hidden="1">
      <c r="A365" s="1304"/>
      <c r="B365" s="643"/>
      <c r="C365" s="643" t="s">
        <v>2051</v>
      </c>
      <c r="D365" s="3085">
        <v>3</v>
      </c>
      <c r="E365" s="3086" t="str">
        <f t="shared" si="53"/>
        <v xml:space="preserve">        ----</v>
      </c>
      <c r="F365" s="3087" t="s">
        <v>2052</v>
      </c>
      <c r="G365" s="3088" t="str">
        <f t="shared" si="54"/>
        <v xml:space="preserve">        ----</v>
      </c>
      <c r="H365" s="3089">
        <f t="shared" ca="1" si="56"/>
        <v>0</v>
      </c>
      <c r="I365" s="3091" t="s">
        <v>6803</v>
      </c>
      <c r="J365" s="3070"/>
      <c r="K365" s="3088" t="str">
        <f t="shared" si="55"/>
        <v xml:space="preserve">        ----</v>
      </c>
      <c r="L365" s="3069" t="s">
        <v>6799</v>
      </c>
      <c r="M365" s="3091" t="s">
        <v>6803</v>
      </c>
      <c r="N365" s="3070"/>
      <c r="O365" s="3097"/>
      <c r="P365" s="3098"/>
      <c r="Q365" s="3098"/>
      <c r="R365" s="3098"/>
      <c r="S365" s="3099" t="s">
        <v>295</v>
      </c>
      <c r="T365" s="3099" t="s">
        <v>213</v>
      </c>
      <c r="U365" s="3100"/>
      <c r="V365" s="3100" t="s">
        <v>295</v>
      </c>
      <c r="W365" s="3100" t="s">
        <v>6797</v>
      </c>
      <c r="X365" s="3100" t="s">
        <v>213</v>
      </c>
      <c r="Y365" s="3101" t="s">
        <v>164</v>
      </c>
    </row>
    <row r="366" spans="1:25" ht="36" hidden="1">
      <c r="A366" s="1304"/>
      <c r="B366" s="643"/>
      <c r="C366" s="643" t="s">
        <v>2055</v>
      </c>
      <c r="D366" s="3085">
        <v>3</v>
      </c>
      <c r="E366" s="3086" t="str">
        <f t="shared" si="53"/>
        <v xml:space="preserve">        ----</v>
      </c>
      <c r="F366" s="3087" t="s">
        <v>2056</v>
      </c>
      <c r="G366" s="3088" t="str">
        <f t="shared" si="54"/>
        <v xml:space="preserve">        ----</v>
      </c>
      <c r="H366" s="3089">
        <f t="shared" ca="1" si="56"/>
        <v>0</v>
      </c>
      <c r="I366" s="3091" t="s">
        <v>6803</v>
      </c>
      <c r="J366" s="3070"/>
      <c r="K366" s="3088" t="str">
        <f t="shared" si="55"/>
        <v xml:space="preserve">        ----</v>
      </c>
      <c r="L366" s="3069" t="s">
        <v>6799</v>
      </c>
      <c r="M366" s="3091" t="s">
        <v>6803</v>
      </c>
      <c r="N366" s="3070"/>
      <c r="O366" s="3097"/>
      <c r="P366" s="3098"/>
      <c r="Q366" s="3098"/>
      <c r="R366" s="3098"/>
      <c r="S366" s="3099" t="s">
        <v>295</v>
      </c>
      <c r="T366" s="3099" t="s">
        <v>213</v>
      </c>
      <c r="U366" s="3100"/>
      <c r="V366" s="3100" t="s">
        <v>295</v>
      </c>
      <c r="W366" s="3100" t="s">
        <v>6797</v>
      </c>
      <c r="X366" s="3100" t="s">
        <v>213</v>
      </c>
      <c r="Y366" s="3101" t="s">
        <v>164</v>
      </c>
    </row>
    <row r="367" spans="1:25" ht="36" hidden="1">
      <c r="A367" s="1304"/>
      <c r="B367" s="643"/>
      <c r="C367" s="643" t="s">
        <v>2058</v>
      </c>
      <c r="D367" s="3085">
        <v>3</v>
      </c>
      <c r="E367" s="3086" t="str">
        <f t="shared" si="53"/>
        <v xml:space="preserve">        ----</v>
      </c>
      <c r="F367" s="3087" t="s">
        <v>2059</v>
      </c>
      <c r="G367" s="3088" t="str">
        <f t="shared" si="54"/>
        <v xml:space="preserve">        ----</v>
      </c>
      <c r="H367" s="3089">
        <f t="shared" ca="1" si="56"/>
        <v>0</v>
      </c>
      <c r="I367" s="3091" t="s">
        <v>6803</v>
      </c>
      <c r="J367" s="3070"/>
      <c r="K367" s="3088" t="str">
        <f t="shared" si="55"/>
        <v xml:space="preserve">        ----</v>
      </c>
      <c r="L367" s="3069" t="s">
        <v>6799</v>
      </c>
      <c r="M367" s="3091" t="s">
        <v>6803</v>
      </c>
      <c r="N367" s="3070"/>
      <c r="O367" s="3097"/>
      <c r="P367" s="3098"/>
      <c r="Q367" s="3098"/>
      <c r="R367" s="3098"/>
      <c r="S367" s="3099" t="s">
        <v>295</v>
      </c>
      <c r="T367" s="3099" t="s">
        <v>213</v>
      </c>
      <c r="U367" s="3100"/>
      <c r="V367" s="3100" t="s">
        <v>295</v>
      </c>
      <c r="W367" s="3100" t="s">
        <v>6797</v>
      </c>
      <c r="X367" s="3100" t="s">
        <v>213</v>
      </c>
      <c r="Y367" s="3101" t="s">
        <v>164</v>
      </c>
    </row>
    <row r="368" spans="1:25" ht="24" hidden="1">
      <c r="A368" s="1304"/>
      <c r="B368" s="643"/>
      <c r="C368" s="643" t="s">
        <v>2061</v>
      </c>
      <c r="D368" s="3085">
        <v>3</v>
      </c>
      <c r="E368" s="3086" t="str">
        <f t="shared" si="53"/>
        <v xml:space="preserve">        ----</v>
      </c>
      <c r="F368" s="3087" t="s">
        <v>2062</v>
      </c>
      <c r="G368" s="3088" t="str">
        <f t="shared" si="54"/>
        <v xml:space="preserve">        ----</v>
      </c>
      <c r="H368" s="3089">
        <f t="shared" ca="1" si="56"/>
        <v>0</v>
      </c>
      <c r="I368" s="3091" t="s">
        <v>6803</v>
      </c>
      <c r="J368" s="3070"/>
      <c r="K368" s="3088" t="str">
        <f t="shared" si="55"/>
        <v xml:space="preserve">        ----</v>
      </c>
      <c r="L368" s="3069" t="s">
        <v>6799</v>
      </c>
      <c r="M368" s="3091" t="s">
        <v>6803</v>
      </c>
      <c r="N368" s="3070"/>
      <c r="O368" s="3097"/>
      <c r="P368" s="3098"/>
      <c r="Q368" s="3098"/>
      <c r="R368" s="3098"/>
      <c r="S368" s="3099" t="s">
        <v>295</v>
      </c>
      <c r="T368" s="3099" t="s">
        <v>213</v>
      </c>
      <c r="U368" s="3100"/>
      <c r="V368" s="3100" t="s">
        <v>295</v>
      </c>
      <c r="W368" s="3100" t="s">
        <v>6797</v>
      </c>
      <c r="X368" s="3100" t="s">
        <v>213</v>
      </c>
      <c r="Y368" s="3101" t="s">
        <v>164</v>
      </c>
    </row>
    <row r="369" spans="1:25" ht="24" hidden="1">
      <c r="A369" s="1304"/>
      <c r="B369" s="643"/>
      <c r="C369" s="643" t="s">
        <v>2100</v>
      </c>
      <c r="D369" s="3085">
        <v>3</v>
      </c>
      <c r="E369" s="3086" t="str">
        <f t="shared" si="53"/>
        <v xml:space="preserve">        ----</v>
      </c>
      <c r="F369" s="3087" t="s">
        <v>887</v>
      </c>
      <c r="G369" s="3088" t="str">
        <f t="shared" si="54"/>
        <v xml:space="preserve">        ----</v>
      </c>
      <c r="H369" s="3089" t="s">
        <v>6799</v>
      </c>
      <c r="I369" s="3091" t="s">
        <v>6803</v>
      </c>
      <c r="J369" s="3070"/>
      <c r="K369" s="3088" t="str">
        <f t="shared" si="55"/>
        <v xml:space="preserve">        ----</v>
      </c>
      <c r="L369" s="3069" t="s">
        <v>6799</v>
      </c>
      <c r="M369" s="3091" t="s">
        <v>6803</v>
      </c>
      <c r="N369" s="3070"/>
      <c r="O369" s="3097"/>
      <c r="P369" s="3098"/>
      <c r="Q369" s="3098"/>
      <c r="R369" s="3098"/>
      <c r="S369" s="3099" t="s">
        <v>295</v>
      </c>
      <c r="T369" s="3099" t="s">
        <v>213</v>
      </c>
      <c r="U369" s="3100"/>
      <c r="V369" s="3100" t="s">
        <v>295</v>
      </c>
      <c r="W369" s="3100" t="s">
        <v>6797</v>
      </c>
      <c r="X369" s="3100" t="s">
        <v>6798</v>
      </c>
      <c r="Y369" s="3101" t="s">
        <v>164</v>
      </c>
    </row>
    <row r="370" spans="1:25" ht="24" hidden="1">
      <c r="A370" s="1304"/>
      <c r="B370" s="643"/>
      <c r="C370" s="643" t="s">
        <v>1351</v>
      </c>
      <c r="D370" s="3085">
        <v>3</v>
      </c>
      <c r="E370" s="3086" t="str">
        <f t="shared" si="53"/>
        <v xml:space="preserve">        ----</v>
      </c>
      <c r="F370" s="3087" t="s">
        <v>1352</v>
      </c>
      <c r="G370" s="3088" t="str">
        <f t="shared" si="54"/>
        <v xml:space="preserve">        ----</v>
      </c>
      <c r="H370" s="3089" t="s">
        <v>6799</v>
      </c>
      <c r="I370" s="3091" t="s">
        <v>6803</v>
      </c>
      <c r="J370" s="3070"/>
      <c r="K370" s="3088" t="str">
        <f t="shared" si="55"/>
        <v xml:space="preserve">        ----</v>
      </c>
      <c r="L370" s="3069" t="s">
        <v>6799</v>
      </c>
      <c r="M370" s="3091" t="s">
        <v>6803</v>
      </c>
      <c r="N370" s="3070"/>
      <c r="O370" s="3097"/>
      <c r="P370" s="3098"/>
      <c r="Q370" s="3098"/>
      <c r="R370" s="3098"/>
      <c r="S370" s="3099" t="s">
        <v>295</v>
      </c>
      <c r="T370" s="3099" t="s">
        <v>213</v>
      </c>
      <c r="U370" s="3100"/>
      <c r="V370" s="3100" t="s">
        <v>295</v>
      </c>
      <c r="W370" s="3100" t="s">
        <v>6797</v>
      </c>
      <c r="X370" s="3100" t="s">
        <v>6798</v>
      </c>
      <c r="Y370" s="3101" t="s">
        <v>164</v>
      </c>
    </row>
    <row r="371" spans="1:25" ht="18" hidden="1">
      <c r="A371" s="1304"/>
      <c r="B371" s="643"/>
      <c r="C371" s="643" t="s">
        <v>1347</v>
      </c>
      <c r="D371" s="3085">
        <v>3</v>
      </c>
      <c r="E371" s="3086" t="str">
        <f t="shared" si="53"/>
        <v xml:space="preserve">        ----</v>
      </c>
      <c r="F371" s="3087" t="s">
        <v>6459</v>
      </c>
      <c r="G371" s="3088" t="str">
        <f t="shared" si="54"/>
        <v xml:space="preserve">        ----</v>
      </c>
      <c r="H371" s="3089" t="s">
        <v>6799</v>
      </c>
      <c r="I371" s="3091" t="s">
        <v>6803</v>
      </c>
      <c r="J371" s="3070"/>
      <c r="K371" s="3088" t="str">
        <f t="shared" si="55"/>
        <v xml:space="preserve">        ----</v>
      </c>
      <c r="L371" s="3069" t="s">
        <v>6799</v>
      </c>
      <c r="M371" s="3091" t="s">
        <v>6803</v>
      </c>
      <c r="N371" s="3070"/>
      <c r="O371" s="3097"/>
      <c r="P371" s="3098"/>
      <c r="Q371" s="3098"/>
      <c r="R371" s="3098"/>
      <c r="S371" s="3099" t="s">
        <v>295</v>
      </c>
      <c r="T371" s="3099" t="s">
        <v>213</v>
      </c>
      <c r="U371" s="3100"/>
      <c r="V371" s="3100" t="s">
        <v>295</v>
      </c>
      <c r="W371" s="3100" t="s">
        <v>6797</v>
      </c>
      <c r="X371" s="3100" t="s">
        <v>6800</v>
      </c>
      <c r="Y371" s="3101" t="s">
        <v>164</v>
      </c>
    </row>
    <row r="372" spans="1:25" ht="18" hidden="1">
      <c r="A372" s="1304"/>
      <c r="B372" s="643"/>
      <c r="C372" s="643" t="s">
        <v>2156</v>
      </c>
      <c r="D372" s="3085">
        <v>3</v>
      </c>
      <c r="E372" s="3086" t="str">
        <f t="shared" si="53"/>
        <v xml:space="preserve">        ----</v>
      </c>
      <c r="F372" s="3087" t="s">
        <v>2157</v>
      </c>
      <c r="G372" s="3088" t="str">
        <f t="shared" si="54"/>
        <v xml:space="preserve">        ----</v>
      </c>
      <c r="H372" s="3089">
        <f t="shared" ref="H372:H380" ca="1" si="57">INDIRECT("Notes!CheckA"&amp;$C372)</f>
        <v>0</v>
      </c>
      <c r="I372" s="3091" t="s">
        <v>6803</v>
      </c>
      <c r="J372" s="3070"/>
      <c r="K372" s="3088" t="str">
        <f t="shared" si="55"/>
        <v xml:space="preserve">        ----</v>
      </c>
      <c r="L372" s="3069">
        <f t="shared" ref="L372:L380" ca="1" si="58">INDIRECT("Notes!CheckB"&amp;$C372)</f>
        <v>0</v>
      </c>
      <c r="M372" s="3091" t="s">
        <v>6803</v>
      </c>
      <c r="N372" s="3070"/>
      <c r="O372" s="3097"/>
      <c r="P372" s="3098"/>
      <c r="Q372" s="3098"/>
      <c r="R372" s="3098"/>
      <c r="S372" s="3099" t="s">
        <v>295</v>
      </c>
      <c r="T372" s="3099" t="s">
        <v>213</v>
      </c>
      <c r="U372" s="3100"/>
      <c r="V372" s="3100" t="s">
        <v>295</v>
      </c>
      <c r="W372" s="3100" t="s">
        <v>6797</v>
      </c>
      <c r="X372" s="3100" t="s">
        <v>6798</v>
      </c>
      <c r="Y372" s="3101" t="s">
        <v>164</v>
      </c>
    </row>
    <row r="373" spans="1:25" ht="18" hidden="1">
      <c r="A373" s="1304"/>
      <c r="B373" s="643"/>
      <c r="C373" s="643" t="s">
        <v>2176</v>
      </c>
      <c r="D373" s="3085">
        <v>3</v>
      </c>
      <c r="E373" s="3086" t="str">
        <f t="shared" si="53"/>
        <v xml:space="preserve">        ----</v>
      </c>
      <c r="F373" s="3087" t="s">
        <v>2177</v>
      </c>
      <c r="G373" s="3088" t="str">
        <f t="shared" si="54"/>
        <v xml:space="preserve">        ----</v>
      </c>
      <c r="H373" s="3089">
        <f t="shared" ca="1" si="57"/>
        <v>0</v>
      </c>
      <c r="I373" s="3091" t="s">
        <v>6803</v>
      </c>
      <c r="J373" s="3070"/>
      <c r="K373" s="3088" t="str">
        <f t="shared" si="55"/>
        <v xml:space="preserve">        ----</v>
      </c>
      <c r="L373" s="3069">
        <f t="shared" ca="1" si="58"/>
        <v>0</v>
      </c>
      <c r="M373" s="3091" t="s">
        <v>6803</v>
      </c>
      <c r="N373" s="3070"/>
      <c r="O373" s="3097"/>
      <c r="P373" s="3098"/>
      <c r="Q373" s="3098"/>
      <c r="R373" s="3098"/>
      <c r="S373" s="3099" t="s">
        <v>295</v>
      </c>
      <c r="T373" s="3099" t="s">
        <v>213</v>
      </c>
      <c r="U373" s="3100"/>
      <c r="V373" s="3100" t="s">
        <v>295</v>
      </c>
      <c r="W373" s="3100" t="s">
        <v>6797</v>
      </c>
      <c r="X373" s="3100" t="s">
        <v>6798</v>
      </c>
      <c r="Y373" s="3101" t="s">
        <v>164</v>
      </c>
    </row>
    <row r="374" spans="1:25" ht="18" hidden="1">
      <c r="A374" s="1304"/>
      <c r="B374" s="643"/>
      <c r="C374" s="643" t="s">
        <v>2178</v>
      </c>
      <c r="D374" s="3085">
        <v>3</v>
      </c>
      <c r="E374" s="3086" t="str">
        <f t="shared" si="53"/>
        <v xml:space="preserve">        ----</v>
      </c>
      <c r="F374" s="3087" t="s">
        <v>2179</v>
      </c>
      <c r="G374" s="3088" t="str">
        <f t="shared" si="54"/>
        <v xml:space="preserve">        ----</v>
      </c>
      <c r="H374" s="3089">
        <f t="shared" ca="1" si="57"/>
        <v>0</v>
      </c>
      <c r="I374" s="3091" t="s">
        <v>6803</v>
      </c>
      <c r="J374" s="3070"/>
      <c r="K374" s="3088" t="str">
        <f t="shared" si="55"/>
        <v xml:space="preserve">        ----</v>
      </c>
      <c r="L374" s="3069">
        <f t="shared" ca="1" si="58"/>
        <v>0</v>
      </c>
      <c r="M374" s="3091" t="s">
        <v>6803</v>
      </c>
      <c r="N374" s="3070"/>
      <c r="O374" s="3097"/>
      <c r="P374" s="3098"/>
      <c r="Q374" s="3098"/>
      <c r="R374" s="3098"/>
      <c r="S374" s="3099" t="s">
        <v>295</v>
      </c>
      <c r="T374" s="3099" t="s">
        <v>213</v>
      </c>
      <c r="U374" s="3100"/>
      <c r="V374" s="3100" t="s">
        <v>295</v>
      </c>
      <c r="W374" s="3100" t="s">
        <v>6797</v>
      </c>
      <c r="X374" s="3100" t="s">
        <v>6798</v>
      </c>
      <c r="Y374" s="3101" t="s">
        <v>164</v>
      </c>
    </row>
    <row r="375" spans="1:25" ht="24" hidden="1">
      <c r="A375" s="1304"/>
      <c r="B375" s="643"/>
      <c r="C375" s="643" t="s">
        <v>2111</v>
      </c>
      <c r="D375" s="3085">
        <v>3</v>
      </c>
      <c r="E375" s="3086" t="str">
        <f t="shared" si="53"/>
        <v xml:space="preserve">        ----</v>
      </c>
      <c r="F375" s="3087" t="s">
        <v>2112</v>
      </c>
      <c r="G375" s="3088" t="str">
        <f t="shared" si="54"/>
        <v xml:space="preserve">        ----</v>
      </c>
      <c r="H375" s="3089">
        <f t="shared" ca="1" si="57"/>
        <v>0</v>
      </c>
      <c r="I375" s="3091" t="s">
        <v>6803</v>
      </c>
      <c r="J375" s="3070"/>
      <c r="K375" s="3088" t="str">
        <f t="shared" si="55"/>
        <v xml:space="preserve">        ----</v>
      </c>
      <c r="L375" s="3069">
        <f t="shared" ca="1" si="58"/>
        <v>0</v>
      </c>
      <c r="M375" s="3091" t="s">
        <v>6803</v>
      </c>
      <c r="N375" s="3070"/>
      <c r="O375" s="3097"/>
      <c r="P375" s="3098"/>
      <c r="Q375" s="3098"/>
      <c r="R375" s="3098"/>
      <c r="S375" s="3099" t="s">
        <v>295</v>
      </c>
      <c r="T375" s="3099" t="s">
        <v>213</v>
      </c>
      <c r="U375" s="3100"/>
      <c r="V375" s="3100" t="s">
        <v>295</v>
      </c>
      <c r="W375" s="3100" t="s">
        <v>6797</v>
      </c>
      <c r="X375" s="3100" t="s">
        <v>6798</v>
      </c>
      <c r="Y375" s="3101" t="s">
        <v>119</v>
      </c>
    </row>
    <row r="376" spans="1:25" ht="24" hidden="1">
      <c r="A376" s="1304"/>
      <c r="B376" s="643"/>
      <c r="C376" s="643" t="s">
        <v>2113</v>
      </c>
      <c r="D376" s="3085">
        <v>3</v>
      </c>
      <c r="E376" s="3086" t="str">
        <f t="shared" si="53"/>
        <v xml:space="preserve">        ----</v>
      </c>
      <c r="F376" s="3087" t="s">
        <v>2114</v>
      </c>
      <c r="G376" s="3088" t="str">
        <f t="shared" si="54"/>
        <v xml:space="preserve">        ----</v>
      </c>
      <c r="H376" s="3089">
        <f t="shared" ca="1" si="57"/>
        <v>0</v>
      </c>
      <c r="I376" s="3091" t="s">
        <v>6803</v>
      </c>
      <c r="J376" s="3070"/>
      <c r="K376" s="3088" t="str">
        <f t="shared" si="55"/>
        <v xml:space="preserve">        ----</v>
      </c>
      <c r="L376" s="3069">
        <f t="shared" ca="1" si="58"/>
        <v>0</v>
      </c>
      <c r="M376" s="3091" t="s">
        <v>6803</v>
      </c>
      <c r="N376" s="3070"/>
      <c r="O376" s="3097"/>
      <c r="P376" s="3098"/>
      <c r="Q376" s="3098"/>
      <c r="R376" s="3098"/>
      <c r="S376" s="3099" t="s">
        <v>295</v>
      </c>
      <c r="T376" s="3099" t="s">
        <v>213</v>
      </c>
      <c r="U376" s="3100"/>
      <c r="V376" s="3100" t="s">
        <v>295</v>
      </c>
      <c r="W376" s="3100" t="s">
        <v>6797</v>
      </c>
      <c r="X376" s="3100" t="s">
        <v>6798</v>
      </c>
      <c r="Y376" s="3101" t="s">
        <v>119</v>
      </c>
    </row>
    <row r="377" spans="1:25" ht="24" hidden="1">
      <c r="A377" s="1304"/>
      <c r="B377" s="643"/>
      <c r="C377" s="643" t="s">
        <v>2115</v>
      </c>
      <c r="D377" s="3085">
        <v>3</v>
      </c>
      <c r="E377" s="3086" t="str">
        <f t="shared" si="53"/>
        <v xml:space="preserve">        ----</v>
      </c>
      <c r="F377" s="3087" t="s">
        <v>2116</v>
      </c>
      <c r="G377" s="3088" t="str">
        <f t="shared" si="54"/>
        <v xml:space="preserve">        ----</v>
      </c>
      <c r="H377" s="3089">
        <f t="shared" ca="1" si="57"/>
        <v>0</v>
      </c>
      <c r="I377" s="3091" t="s">
        <v>6803</v>
      </c>
      <c r="J377" s="3070"/>
      <c r="K377" s="3088" t="str">
        <f t="shared" si="55"/>
        <v xml:space="preserve">        ----</v>
      </c>
      <c r="L377" s="3069">
        <f t="shared" ca="1" si="58"/>
        <v>0</v>
      </c>
      <c r="M377" s="3091" t="s">
        <v>6803</v>
      </c>
      <c r="N377" s="3070"/>
      <c r="O377" s="3097"/>
      <c r="P377" s="3098"/>
      <c r="Q377" s="3098"/>
      <c r="R377" s="3098"/>
      <c r="S377" s="3099" t="s">
        <v>295</v>
      </c>
      <c r="T377" s="3099" t="s">
        <v>213</v>
      </c>
      <c r="U377" s="3100"/>
      <c r="V377" s="3100" t="s">
        <v>295</v>
      </c>
      <c r="W377" s="3100" t="s">
        <v>6797</v>
      </c>
      <c r="X377" s="3100" t="s">
        <v>6798</v>
      </c>
      <c r="Y377" s="3101" t="s">
        <v>119</v>
      </c>
    </row>
    <row r="378" spans="1:25" ht="24" hidden="1">
      <c r="A378" s="1304"/>
      <c r="B378" s="643"/>
      <c r="C378" s="643" t="s">
        <v>2117</v>
      </c>
      <c r="D378" s="3085">
        <v>3</v>
      </c>
      <c r="E378" s="3086" t="str">
        <f t="shared" si="53"/>
        <v xml:space="preserve">        ----</v>
      </c>
      <c r="F378" s="3087" t="s">
        <v>2118</v>
      </c>
      <c r="G378" s="3088" t="str">
        <f t="shared" si="54"/>
        <v xml:space="preserve">        ----</v>
      </c>
      <c r="H378" s="3089">
        <f t="shared" ca="1" si="57"/>
        <v>0</v>
      </c>
      <c r="I378" s="3091" t="s">
        <v>6803</v>
      </c>
      <c r="J378" s="3070"/>
      <c r="K378" s="3088" t="str">
        <f t="shared" si="55"/>
        <v xml:space="preserve">        ----</v>
      </c>
      <c r="L378" s="3069">
        <f t="shared" ca="1" si="58"/>
        <v>0</v>
      </c>
      <c r="M378" s="3091" t="s">
        <v>6803</v>
      </c>
      <c r="N378" s="3070"/>
      <c r="O378" s="3097"/>
      <c r="P378" s="3098"/>
      <c r="Q378" s="3098"/>
      <c r="R378" s="3098"/>
      <c r="S378" s="3099" t="s">
        <v>295</v>
      </c>
      <c r="T378" s="3099" t="s">
        <v>213</v>
      </c>
      <c r="U378" s="3100"/>
      <c r="V378" s="3100" t="s">
        <v>295</v>
      </c>
      <c r="W378" s="3100" t="s">
        <v>6797</v>
      </c>
      <c r="X378" s="3100" t="s">
        <v>6798</v>
      </c>
      <c r="Y378" s="3101" t="s">
        <v>119</v>
      </c>
    </row>
    <row r="379" spans="1:25" ht="36" hidden="1">
      <c r="A379" s="1304"/>
      <c r="B379" s="643"/>
      <c r="C379" s="643" t="s">
        <v>2120</v>
      </c>
      <c r="D379" s="3085">
        <v>3</v>
      </c>
      <c r="E379" s="3086" t="str">
        <f t="shared" si="53"/>
        <v xml:space="preserve">        ----</v>
      </c>
      <c r="F379" s="3087" t="s">
        <v>2121</v>
      </c>
      <c r="G379" s="3088" t="str">
        <f t="shared" si="54"/>
        <v xml:space="preserve">        ----</v>
      </c>
      <c r="H379" s="3089">
        <f t="shared" ca="1" si="57"/>
        <v>0</v>
      </c>
      <c r="I379" s="3091" t="s">
        <v>6803</v>
      </c>
      <c r="J379" s="3070"/>
      <c r="K379" s="3088" t="str">
        <f t="shared" si="55"/>
        <v xml:space="preserve">        ----</v>
      </c>
      <c r="L379" s="3069">
        <f t="shared" ca="1" si="58"/>
        <v>0</v>
      </c>
      <c r="M379" s="3091" t="s">
        <v>6803</v>
      </c>
      <c r="N379" s="3070"/>
      <c r="O379" s="3097"/>
      <c r="P379" s="3098"/>
      <c r="Q379" s="3098"/>
      <c r="R379" s="3098"/>
      <c r="S379" s="3099" t="s">
        <v>295</v>
      </c>
      <c r="T379" s="3099" t="s">
        <v>213</v>
      </c>
      <c r="U379" s="3100"/>
      <c r="V379" s="3100" t="s">
        <v>295</v>
      </c>
      <c r="W379" s="3100" t="s">
        <v>6797</v>
      </c>
      <c r="X379" s="3100" t="s">
        <v>6798</v>
      </c>
      <c r="Y379" s="3101" t="s">
        <v>119</v>
      </c>
    </row>
    <row r="380" spans="1:25" ht="36" hidden="1">
      <c r="A380" s="1304"/>
      <c r="B380" s="643"/>
      <c r="C380" s="643" t="s">
        <v>2125</v>
      </c>
      <c r="D380" s="3085">
        <v>3</v>
      </c>
      <c r="E380" s="3086" t="str">
        <f t="shared" si="53"/>
        <v xml:space="preserve">        ----</v>
      </c>
      <c r="F380" s="3087" t="s">
        <v>2126</v>
      </c>
      <c r="G380" s="3088" t="str">
        <f t="shared" si="54"/>
        <v xml:space="preserve">        ----</v>
      </c>
      <c r="H380" s="3089">
        <f t="shared" ca="1" si="57"/>
        <v>0</v>
      </c>
      <c r="I380" s="3091" t="s">
        <v>6803</v>
      </c>
      <c r="J380" s="3070"/>
      <c r="K380" s="3088" t="str">
        <f t="shared" si="55"/>
        <v xml:space="preserve">        ----</v>
      </c>
      <c r="L380" s="3069">
        <f t="shared" ca="1" si="58"/>
        <v>0</v>
      </c>
      <c r="M380" s="3091" t="s">
        <v>6803</v>
      </c>
      <c r="N380" s="3070"/>
      <c r="O380" s="3097"/>
      <c r="P380" s="3098"/>
      <c r="Q380" s="3098"/>
      <c r="R380" s="3098"/>
      <c r="S380" s="3099" t="s">
        <v>295</v>
      </c>
      <c r="T380" s="3099" t="s">
        <v>213</v>
      </c>
      <c r="U380" s="3100"/>
      <c r="V380" s="3100" t="s">
        <v>295</v>
      </c>
      <c r="W380" s="3100" t="s">
        <v>6797</v>
      </c>
      <c r="X380" s="3100" t="s">
        <v>6798</v>
      </c>
      <c r="Y380" s="3101" t="s">
        <v>119</v>
      </c>
    </row>
    <row r="381" spans="1:25" ht="24" hidden="1">
      <c r="A381" s="1304"/>
      <c r="B381" s="643"/>
      <c r="C381" s="643" t="s">
        <v>2127</v>
      </c>
      <c r="D381" s="3085">
        <v>3</v>
      </c>
      <c r="E381" s="3086" t="str">
        <f t="shared" si="53"/>
        <v xml:space="preserve">        ----</v>
      </c>
      <c r="F381" s="3087" t="s">
        <v>2128</v>
      </c>
      <c r="G381" s="3088" t="str">
        <f t="shared" si="54"/>
        <v xml:space="preserve">        ----</v>
      </c>
      <c r="H381" s="3089" t="s">
        <v>6799</v>
      </c>
      <c r="I381" s="3091" t="s">
        <v>6803</v>
      </c>
      <c r="J381" s="3070"/>
      <c r="K381" s="3088" t="str">
        <f t="shared" si="55"/>
        <v xml:space="preserve">        ----</v>
      </c>
      <c r="L381" s="3069" t="s">
        <v>6799</v>
      </c>
      <c r="M381" s="3091" t="s">
        <v>6803</v>
      </c>
      <c r="N381" s="3070"/>
      <c r="O381" s="3097"/>
      <c r="P381" s="3098"/>
      <c r="Q381" s="3098"/>
      <c r="R381" s="3098"/>
      <c r="S381" s="3099" t="s">
        <v>295</v>
      </c>
      <c r="T381" s="3099" t="s">
        <v>213</v>
      </c>
      <c r="U381" s="3100"/>
      <c r="V381" s="3100" t="s">
        <v>295</v>
      </c>
      <c r="W381" s="3100" t="s">
        <v>145</v>
      </c>
      <c r="X381" s="3100" t="s">
        <v>6800</v>
      </c>
      <c r="Y381" s="3101" t="s">
        <v>119</v>
      </c>
    </row>
    <row r="382" spans="1:25" ht="48" hidden="1">
      <c r="A382" s="1304"/>
      <c r="B382" s="643"/>
      <c r="C382" s="643" t="s">
        <v>2149</v>
      </c>
      <c r="D382" s="3085">
        <v>3</v>
      </c>
      <c r="E382" s="3086" t="str">
        <f t="shared" si="53"/>
        <v xml:space="preserve">        ----</v>
      </c>
      <c r="F382" s="3087" t="s">
        <v>2159</v>
      </c>
      <c r="G382" s="3088" t="str">
        <f t="shared" si="54"/>
        <v xml:space="preserve">        ----</v>
      </c>
      <c r="H382" s="3089">
        <f ca="1">INDIRECT("Notes!CheckA"&amp;$C382)</f>
        <v>0</v>
      </c>
      <c r="I382" s="3091" t="s">
        <v>6803</v>
      </c>
      <c r="J382" s="3070"/>
      <c r="K382" s="3088" t="str">
        <f t="shared" si="55"/>
        <v xml:space="preserve">        ----</v>
      </c>
      <c r="L382" s="3069" t="s">
        <v>6799</v>
      </c>
      <c r="M382" s="3091" t="s">
        <v>6803</v>
      </c>
      <c r="N382" s="3070"/>
      <c r="O382" s="3097"/>
      <c r="P382" s="3098"/>
      <c r="Q382" s="3098"/>
      <c r="R382" s="3098"/>
      <c r="S382" s="3099" t="s">
        <v>295</v>
      </c>
      <c r="T382" s="3099" t="s">
        <v>213</v>
      </c>
      <c r="U382" s="3100"/>
      <c r="V382" s="3100" t="s">
        <v>295</v>
      </c>
      <c r="W382" s="3100" t="s">
        <v>6797</v>
      </c>
      <c r="X382" s="3100" t="s">
        <v>6800</v>
      </c>
      <c r="Y382" s="3101" t="s">
        <v>164</v>
      </c>
    </row>
    <row r="383" spans="1:25" ht="48" hidden="1">
      <c r="A383" s="1304"/>
      <c r="B383" s="643"/>
      <c r="C383" s="643" t="s">
        <v>2160</v>
      </c>
      <c r="D383" s="3085">
        <v>3</v>
      </c>
      <c r="E383" s="3086" t="str">
        <f t="shared" si="53"/>
        <v xml:space="preserve">        ----</v>
      </c>
      <c r="F383" s="3087" t="s">
        <v>2161</v>
      </c>
      <c r="G383" s="3088" t="str">
        <f t="shared" si="54"/>
        <v xml:space="preserve">        ----</v>
      </c>
      <c r="H383" s="3089">
        <f ca="1">INDIRECT("Notes!CheckA"&amp;$C383)</f>
        <v>0</v>
      </c>
      <c r="I383" s="3091" t="s">
        <v>6803</v>
      </c>
      <c r="J383" s="3070"/>
      <c r="K383" s="3088" t="str">
        <f t="shared" si="55"/>
        <v xml:space="preserve">        ----</v>
      </c>
      <c r="L383" s="3069" t="s">
        <v>6799</v>
      </c>
      <c r="M383" s="3091" t="s">
        <v>6803</v>
      </c>
      <c r="N383" s="3070"/>
      <c r="O383" s="3097"/>
      <c r="P383" s="3098"/>
      <c r="Q383" s="3098"/>
      <c r="R383" s="3098"/>
      <c r="S383" s="3099" t="s">
        <v>295</v>
      </c>
      <c r="T383" s="3099" t="s">
        <v>213</v>
      </c>
      <c r="U383" s="3100"/>
      <c r="V383" s="3100" t="s">
        <v>295</v>
      </c>
      <c r="W383" s="3100" t="s">
        <v>6797</v>
      </c>
      <c r="X383" s="3100" t="s">
        <v>6800</v>
      </c>
      <c r="Y383" s="3101" t="s">
        <v>164</v>
      </c>
    </row>
    <row r="384" spans="1:25" ht="60" hidden="1">
      <c r="A384" s="1304"/>
      <c r="B384" s="643"/>
      <c r="C384" s="643" t="s">
        <v>2144</v>
      </c>
      <c r="D384" s="3085">
        <v>3</v>
      </c>
      <c r="E384" s="3086" t="str">
        <f t="shared" si="53"/>
        <v xml:space="preserve">        ----</v>
      </c>
      <c r="F384" s="3087" t="s">
        <v>2145</v>
      </c>
      <c r="G384" s="3088" t="str">
        <f t="shared" si="54"/>
        <v xml:space="preserve">        ----</v>
      </c>
      <c r="H384" s="3089" t="s">
        <v>6799</v>
      </c>
      <c r="I384" s="3091" t="s">
        <v>6803</v>
      </c>
      <c r="J384" s="3070"/>
      <c r="K384" s="3088" t="str">
        <f t="shared" si="55"/>
        <v xml:space="preserve">        ----</v>
      </c>
      <c r="L384" s="3069" t="s">
        <v>6799</v>
      </c>
      <c r="M384" s="3091" t="s">
        <v>6803</v>
      </c>
      <c r="N384" s="3070"/>
      <c r="O384" s="3097"/>
      <c r="P384" s="3098"/>
      <c r="Q384" s="3098"/>
      <c r="R384" s="3098"/>
      <c r="S384" s="3099" t="s">
        <v>295</v>
      </c>
      <c r="T384" s="3099" t="s">
        <v>213</v>
      </c>
      <c r="U384" s="3100"/>
      <c r="V384" s="3100" t="s">
        <v>295</v>
      </c>
      <c r="W384" s="3100" t="s">
        <v>6797</v>
      </c>
      <c r="X384" s="3100" t="s">
        <v>6800</v>
      </c>
      <c r="Y384" s="3101" t="s">
        <v>164</v>
      </c>
    </row>
    <row r="385" spans="1:25" ht="36" hidden="1">
      <c r="A385" s="1304"/>
      <c r="B385" s="643"/>
      <c r="C385" s="643" t="s">
        <v>2130</v>
      </c>
      <c r="D385" s="3085">
        <v>3</v>
      </c>
      <c r="E385" s="3086" t="str">
        <f t="shared" si="53"/>
        <v xml:space="preserve">        ----</v>
      </c>
      <c r="F385" s="3087" t="s">
        <v>2131</v>
      </c>
      <c r="G385" s="3088" t="str">
        <f t="shared" si="54"/>
        <v xml:space="preserve">        ----</v>
      </c>
      <c r="H385" s="3089" t="s">
        <v>6799</v>
      </c>
      <c r="I385" s="3091" t="s">
        <v>6803</v>
      </c>
      <c r="J385" s="3070"/>
      <c r="K385" s="3088" t="str">
        <f t="shared" si="55"/>
        <v xml:space="preserve">        ----</v>
      </c>
      <c r="L385" s="3069" t="s">
        <v>6799</v>
      </c>
      <c r="M385" s="3091" t="s">
        <v>6803</v>
      </c>
      <c r="N385" s="3070"/>
      <c r="O385" s="3097"/>
      <c r="P385" s="3098"/>
      <c r="Q385" s="3098"/>
      <c r="R385" s="3098"/>
      <c r="S385" s="3099" t="s">
        <v>295</v>
      </c>
      <c r="T385" s="3099" t="s">
        <v>213</v>
      </c>
      <c r="U385" s="3100"/>
      <c r="V385" s="3100" t="s">
        <v>295</v>
      </c>
      <c r="W385" s="3100" t="s">
        <v>6797</v>
      </c>
      <c r="X385" s="3100" t="s">
        <v>6800</v>
      </c>
      <c r="Y385" s="3101" t="s">
        <v>164</v>
      </c>
    </row>
    <row r="386" spans="1:25" ht="24" hidden="1">
      <c r="A386" s="1304"/>
      <c r="B386" s="643"/>
      <c r="C386" s="643" t="s">
        <v>2064</v>
      </c>
      <c r="D386" s="3085">
        <v>3</v>
      </c>
      <c r="E386" s="3086" t="str">
        <f t="shared" si="53"/>
        <v xml:space="preserve">        ----</v>
      </c>
      <c r="F386" s="3087" t="s">
        <v>2065</v>
      </c>
      <c r="G386" s="3088" t="str">
        <f t="shared" si="54"/>
        <v xml:space="preserve">        ----</v>
      </c>
      <c r="H386" s="3089">
        <f ca="1">INDIRECT("Notes!CheckA"&amp;$C386)</f>
        <v>0</v>
      </c>
      <c r="I386" s="3091" t="s">
        <v>6803</v>
      </c>
      <c r="J386" s="3070"/>
      <c r="K386" s="3088" t="str">
        <f t="shared" si="55"/>
        <v xml:space="preserve">        ----</v>
      </c>
      <c r="L386" s="3069">
        <f ca="1">INDIRECT("Notes!CheckB"&amp;$C386)</f>
        <v>0</v>
      </c>
      <c r="M386" s="3091" t="s">
        <v>6803</v>
      </c>
      <c r="N386" s="3070"/>
      <c r="O386" s="3097"/>
      <c r="P386" s="3098"/>
      <c r="Q386" s="3098"/>
      <c r="R386" s="3098"/>
      <c r="S386" s="3099" t="s">
        <v>295</v>
      </c>
      <c r="T386" s="3099" t="s">
        <v>213</v>
      </c>
      <c r="U386" s="3100"/>
      <c r="V386" s="3100" t="s">
        <v>295</v>
      </c>
      <c r="W386" s="3100" t="s">
        <v>6797</v>
      </c>
      <c r="X386" s="3100" t="s">
        <v>6798</v>
      </c>
      <c r="Y386" s="3101" t="s">
        <v>164</v>
      </c>
    </row>
    <row r="387" spans="1:25" ht="24" hidden="1">
      <c r="A387" s="1304"/>
      <c r="B387" s="643"/>
      <c r="C387" s="643" t="s">
        <v>2067</v>
      </c>
      <c r="D387" s="3085">
        <v>3</v>
      </c>
      <c r="E387" s="3086" t="str">
        <f t="shared" si="53"/>
        <v xml:space="preserve">        ----</v>
      </c>
      <c r="F387" s="3087" t="s">
        <v>2068</v>
      </c>
      <c r="G387" s="3088" t="str">
        <f t="shared" si="54"/>
        <v xml:space="preserve">        ----</v>
      </c>
      <c r="H387" s="3089">
        <f ca="1">INDIRECT("Notes!CheckA"&amp;$C387)</f>
        <v>0</v>
      </c>
      <c r="I387" s="3091" t="s">
        <v>6803</v>
      </c>
      <c r="J387" s="3070"/>
      <c r="K387" s="3088" t="str">
        <f t="shared" si="55"/>
        <v xml:space="preserve">        ----</v>
      </c>
      <c r="L387" s="3069">
        <f ca="1">INDIRECT("Notes!CheckB"&amp;$C387)</f>
        <v>0</v>
      </c>
      <c r="M387" s="3091" t="s">
        <v>6803</v>
      </c>
      <c r="N387" s="3070"/>
      <c r="O387" s="3097"/>
      <c r="P387" s="3098"/>
      <c r="Q387" s="3098"/>
      <c r="R387" s="3098"/>
      <c r="S387" s="3099" t="s">
        <v>295</v>
      </c>
      <c r="T387" s="3099" t="s">
        <v>213</v>
      </c>
      <c r="U387" s="3100"/>
      <c r="V387" s="3100" t="s">
        <v>295</v>
      </c>
      <c r="W387" s="3100" t="s">
        <v>6797</v>
      </c>
      <c r="X387" s="3100" t="s">
        <v>6798</v>
      </c>
      <c r="Y387" s="3101" t="s">
        <v>164</v>
      </c>
    </row>
    <row r="388" spans="1:25" ht="18" hidden="1">
      <c r="A388" s="1304"/>
      <c r="B388" s="643"/>
      <c r="C388" s="643" t="s">
        <v>2069</v>
      </c>
      <c r="D388" s="3085">
        <v>3</v>
      </c>
      <c r="E388" s="3086" t="str">
        <f t="shared" si="53"/>
        <v xml:space="preserve">        ----</v>
      </c>
      <c r="F388" s="3087" t="s">
        <v>2070</v>
      </c>
      <c r="G388" s="3088" t="str">
        <f t="shared" si="54"/>
        <v xml:space="preserve">        ----</v>
      </c>
      <c r="H388" s="3089" t="s">
        <v>6799</v>
      </c>
      <c r="I388" s="3091" t="s">
        <v>6803</v>
      </c>
      <c r="J388" s="3070"/>
      <c r="K388" s="3088" t="str">
        <f t="shared" si="55"/>
        <v xml:space="preserve">        ----</v>
      </c>
      <c r="L388" s="3069" t="s">
        <v>6799</v>
      </c>
      <c r="M388" s="3091" t="s">
        <v>6803</v>
      </c>
      <c r="N388" s="3070"/>
      <c r="O388" s="3097"/>
      <c r="P388" s="3098"/>
      <c r="Q388" s="3098"/>
      <c r="R388" s="3098"/>
      <c r="S388" s="3099" t="s">
        <v>295</v>
      </c>
      <c r="T388" s="3099" t="s">
        <v>213</v>
      </c>
      <c r="U388" s="3100"/>
      <c r="V388" s="3100" t="s">
        <v>295</v>
      </c>
      <c r="W388" s="3100" t="s">
        <v>6797</v>
      </c>
      <c r="X388" s="3100" t="s">
        <v>6798</v>
      </c>
      <c r="Y388" s="3101" t="s">
        <v>164</v>
      </c>
    </row>
    <row r="389" spans="1:25" ht="18" hidden="1">
      <c r="A389" s="1304"/>
      <c r="B389" s="643"/>
      <c r="C389" s="643" t="s">
        <v>2072</v>
      </c>
      <c r="D389" s="3085">
        <v>3</v>
      </c>
      <c r="E389" s="3086" t="str">
        <f t="shared" si="53"/>
        <v xml:space="preserve">        ----</v>
      </c>
      <c r="F389" s="3087" t="s">
        <v>2073</v>
      </c>
      <c r="G389" s="3088" t="str">
        <f t="shared" si="54"/>
        <v xml:space="preserve">        ----</v>
      </c>
      <c r="H389" s="3089" t="s">
        <v>6799</v>
      </c>
      <c r="I389" s="3091" t="s">
        <v>6803</v>
      </c>
      <c r="J389" s="3070"/>
      <c r="K389" s="3088" t="str">
        <f t="shared" si="55"/>
        <v xml:space="preserve">        ----</v>
      </c>
      <c r="L389" s="3069" t="s">
        <v>6799</v>
      </c>
      <c r="M389" s="3091" t="s">
        <v>6803</v>
      </c>
      <c r="N389" s="3070"/>
      <c r="O389" s="3097"/>
      <c r="P389" s="3098"/>
      <c r="Q389" s="3098"/>
      <c r="R389" s="3098"/>
      <c r="S389" s="3099" t="s">
        <v>295</v>
      </c>
      <c r="T389" s="3099" t="s">
        <v>213</v>
      </c>
      <c r="U389" s="3100"/>
      <c r="V389" s="3100" t="s">
        <v>295</v>
      </c>
      <c r="W389" s="3100" t="s">
        <v>6797</v>
      </c>
      <c r="X389" s="3100" t="s">
        <v>6798</v>
      </c>
      <c r="Y389" s="3101" t="s">
        <v>164</v>
      </c>
    </row>
    <row r="390" spans="1:25" ht="24" hidden="1">
      <c r="A390" s="1304"/>
      <c r="B390" s="643"/>
      <c r="C390" s="643" t="s">
        <v>2075</v>
      </c>
      <c r="D390" s="3085">
        <v>3</v>
      </c>
      <c r="E390" s="3086" t="str">
        <f t="shared" si="53"/>
        <v xml:space="preserve">        ----</v>
      </c>
      <c r="F390" s="3087" t="s">
        <v>2076</v>
      </c>
      <c r="G390" s="3088" t="str">
        <f t="shared" si="54"/>
        <v xml:space="preserve">        ----</v>
      </c>
      <c r="H390" s="3089" t="s">
        <v>6799</v>
      </c>
      <c r="I390" s="3091" t="s">
        <v>6803</v>
      </c>
      <c r="J390" s="3070"/>
      <c r="K390" s="3088" t="str">
        <f t="shared" si="55"/>
        <v xml:space="preserve">        ----</v>
      </c>
      <c r="L390" s="3069" t="s">
        <v>6799</v>
      </c>
      <c r="M390" s="3091" t="s">
        <v>6803</v>
      </c>
      <c r="N390" s="3070"/>
      <c r="O390" s="3097"/>
      <c r="P390" s="3098"/>
      <c r="Q390" s="3098"/>
      <c r="R390" s="3098"/>
      <c r="S390" s="3099" t="s">
        <v>295</v>
      </c>
      <c r="T390" s="3099" t="s">
        <v>213</v>
      </c>
      <c r="U390" s="3100"/>
      <c r="V390" s="3100" t="s">
        <v>295</v>
      </c>
      <c r="W390" s="3100" t="s">
        <v>6797</v>
      </c>
      <c r="X390" s="3100" t="s">
        <v>6798</v>
      </c>
      <c r="Y390" s="3101" t="s">
        <v>164</v>
      </c>
    </row>
    <row r="391" spans="1:25" ht="24" hidden="1">
      <c r="A391" s="1304"/>
      <c r="B391" s="643"/>
      <c r="C391" s="643" t="s">
        <v>2077</v>
      </c>
      <c r="D391" s="3085">
        <v>3</v>
      </c>
      <c r="E391" s="3086" t="str">
        <f t="shared" si="53"/>
        <v xml:space="preserve">        ----</v>
      </c>
      <c r="F391" s="3087" t="s">
        <v>2078</v>
      </c>
      <c r="G391" s="3088" t="str">
        <f t="shared" si="54"/>
        <v xml:space="preserve">        ----</v>
      </c>
      <c r="H391" s="3089" t="s">
        <v>6799</v>
      </c>
      <c r="I391" s="3091" t="s">
        <v>6803</v>
      </c>
      <c r="J391" s="3070"/>
      <c r="K391" s="3088" t="str">
        <f t="shared" si="55"/>
        <v xml:space="preserve">        ----</v>
      </c>
      <c r="L391" s="3069" t="s">
        <v>6799</v>
      </c>
      <c r="M391" s="3091" t="s">
        <v>6803</v>
      </c>
      <c r="N391" s="3070"/>
      <c r="O391" s="3097"/>
      <c r="P391" s="3098"/>
      <c r="Q391" s="3098"/>
      <c r="R391" s="3098"/>
      <c r="S391" s="3099" t="s">
        <v>295</v>
      </c>
      <c r="T391" s="3099" t="s">
        <v>213</v>
      </c>
      <c r="U391" s="3100"/>
      <c r="V391" s="3100" t="s">
        <v>295</v>
      </c>
      <c r="W391" s="3100" t="s">
        <v>6797</v>
      </c>
      <c r="X391" s="3100" t="s">
        <v>6798</v>
      </c>
      <c r="Y391" s="3101" t="s">
        <v>164</v>
      </c>
    </row>
    <row r="392" spans="1:25" ht="24" hidden="1">
      <c r="A392" s="1304"/>
      <c r="B392" s="643"/>
      <c r="C392" s="643" t="s">
        <v>2079</v>
      </c>
      <c r="D392" s="3085">
        <v>3</v>
      </c>
      <c r="E392" s="3086" t="str">
        <f t="shared" si="53"/>
        <v xml:space="preserve">        ----</v>
      </c>
      <c r="F392" s="3087" t="s">
        <v>2080</v>
      </c>
      <c r="G392" s="3088" t="str">
        <f t="shared" si="54"/>
        <v xml:space="preserve">        ----</v>
      </c>
      <c r="H392" s="3089" t="s">
        <v>6799</v>
      </c>
      <c r="I392" s="3091" t="s">
        <v>6803</v>
      </c>
      <c r="J392" s="3070"/>
      <c r="K392" s="3088" t="str">
        <f t="shared" si="55"/>
        <v xml:space="preserve">        ----</v>
      </c>
      <c r="L392" s="3069" t="s">
        <v>6799</v>
      </c>
      <c r="M392" s="3091" t="s">
        <v>6803</v>
      </c>
      <c r="N392" s="3070"/>
      <c r="O392" s="3097"/>
      <c r="P392" s="3098"/>
      <c r="Q392" s="3098"/>
      <c r="R392" s="3098"/>
      <c r="S392" s="3099" t="s">
        <v>295</v>
      </c>
      <c r="T392" s="3099" t="s">
        <v>213</v>
      </c>
      <c r="U392" s="3100"/>
      <c r="V392" s="3100" t="s">
        <v>295</v>
      </c>
      <c r="W392" s="3100" t="s">
        <v>6797</v>
      </c>
      <c r="X392" s="3100" t="s">
        <v>6798</v>
      </c>
      <c r="Y392" s="3101" t="s">
        <v>164</v>
      </c>
    </row>
    <row r="393" spans="1:25" ht="24" hidden="1">
      <c r="A393" s="1304"/>
      <c r="B393" s="643"/>
      <c r="C393" s="643" t="s">
        <v>2081</v>
      </c>
      <c r="D393" s="3085">
        <v>3</v>
      </c>
      <c r="E393" s="3086" t="str">
        <f t="shared" ref="E393:E408" si="59">IF(ISERROR(VLOOKUP($B393,Sheet_Items,2,0)),"        ----",VLOOKUP($B393,Sheet_Items,2,0))</f>
        <v xml:space="preserve">        ----</v>
      </c>
      <c r="F393" s="3087" t="s">
        <v>2082</v>
      </c>
      <c r="G393" s="3088" t="str">
        <f t="shared" ref="G393:G408" si="60">IF(ISERROR(VLOOKUP($B393,Sheet_Trialbal,6,0)),"        ----",VLOOKUP($B393,Sheet_Trialbal,6,0))</f>
        <v xml:space="preserve">        ----</v>
      </c>
      <c r="H393" s="3089" t="s">
        <v>6799</v>
      </c>
      <c r="I393" s="3091" t="s">
        <v>6803</v>
      </c>
      <c r="J393" s="3070"/>
      <c r="K393" s="3088" t="str">
        <f t="shared" si="55"/>
        <v xml:space="preserve">        ----</v>
      </c>
      <c r="L393" s="3069" t="s">
        <v>6799</v>
      </c>
      <c r="M393" s="3091" t="s">
        <v>6803</v>
      </c>
      <c r="N393" s="3070"/>
      <c r="O393" s="3097"/>
      <c r="P393" s="3098"/>
      <c r="Q393" s="3098"/>
      <c r="R393" s="3098"/>
      <c r="S393" s="3099" t="s">
        <v>295</v>
      </c>
      <c r="T393" s="3099" t="s">
        <v>213</v>
      </c>
      <c r="U393" s="3100"/>
      <c r="V393" s="3100" t="s">
        <v>295</v>
      </c>
      <c r="W393" s="3100" t="s">
        <v>6797</v>
      </c>
      <c r="X393" s="3100" t="s">
        <v>6798</v>
      </c>
      <c r="Y393" s="3101" t="s">
        <v>164</v>
      </c>
    </row>
    <row r="394" spans="1:25" ht="24" hidden="1">
      <c r="A394" s="1304"/>
      <c r="B394" s="643"/>
      <c r="C394" s="643" t="s">
        <v>2083</v>
      </c>
      <c r="D394" s="3085">
        <v>3</v>
      </c>
      <c r="E394" s="3086" t="str">
        <f t="shared" si="59"/>
        <v xml:space="preserve">        ----</v>
      </c>
      <c r="F394" s="3087" t="s">
        <v>2084</v>
      </c>
      <c r="G394" s="3088" t="str">
        <f t="shared" si="60"/>
        <v xml:space="preserve">        ----</v>
      </c>
      <c r="H394" s="3089" t="s">
        <v>6799</v>
      </c>
      <c r="I394" s="3091" t="s">
        <v>6803</v>
      </c>
      <c r="J394" s="3070"/>
      <c r="K394" s="3088" t="str">
        <f t="shared" si="55"/>
        <v xml:space="preserve">        ----</v>
      </c>
      <c r="L394" s="3069" t="s">
        <v>6799</v>
      </c>
      <c r="M394" s="3091" t="s">
        <v>6803</v>
      </c>
      <c r="N394" s="3070"/>
      <c r="O394" s="3097"/>
      <c r="P394" s="3098"/>
      <c r="Q394" s="3098"/>
      <c r="R394" s="3098"/>
      <c r="S394" s="3099" t="s">
        <v>295</v>
      </c>
      <c r="T394" s="3099" t="s">
        <v>213</v>
      </c>
      <c r="U394" s="3100"/>
      <c r="V394" s="3100" t="s">
        <v>295</v>
      </c>
      <c r="W394" s="3100" t="s">
        <v>6797</v>
      </c>
      <c r="X394" s="3100" t="s">
        <v>6798</v>
      </c>
      <c r="Y394" s="3101" t="s">
        <v>164</v>
      </c>
    </row>
    <row r="395" spans="1:25" ht="24" hidden="1">
      <c r="A395" s="1304"/>
      <c r="B395" s="643"/>
      <c r="C395" s="643" t="s">
        <v>2085</v>
      </c>
      <c r="D395" s="3085">
        <v>3</v>
      </c>
      <c r="E395" s="3086" t="str">
        <f t="shared" si="59"/>
        <v xml:space="preserve">        ----</v>
      </c>
      <c r="F395" s="3087" t="s">
        <v>2086</v>
      </c>
      <c r="G395" s="3088" t="str">
        <f t="shared" si="60"/>
        <v xml:space="preserve">        ----</v>
      </c>
      <c r="H395" s="3089" t="s">
        <v>6799</v>
      </c>
      <c r="I395" s="3091" t="s">
        <v>6803</v>
      </c>
      <c r="J395" s="3070"/>
      <c r="K395" s="3088" t="str">
        <f t="shared" si="55"/>
        <v xml:space="preserve">        ----</v>
      </c>
      <c r="L395" s="3069" t="s">
        <v>6799</v>
      </c>
      <c r="M395" s="3091" t="s">
        <v>6803</v>
      </c>
      <c r="N395" s="3070"/>
      <c r="O395" s="3097"/>
      <c r="P395" s="3098"/>
      <c r="Q395" s="3098"/>
      <c r="R395" s="3098"/>
      <c r="S395" s="3099" t="s">
        <v>295</v>
      </c>
      <c r="T395" s="3099" t="s">
        <v>213</v>
      </c>
      <c r="U395" s="3100"/>
      <c r="V395" s="3100" t="s">
        <v>295</v>
      </c>
      <c r="W395" s="3100" t="s">
        <v>6797</v>
      </c>
      <c r="X395" s="3100" t="s">
        <v>6798</v>
      </c>
      <c r="Y395" s="3101" t="s">
        <v>164</v>
      </c>
    </row>
    <row r="396" spans="1:25" ht="24" hidden="1">
      <c r="A396" s="1304"/>
      <c r="B396" s="643"/>
      <c r="C396" s="643" t="s">
        <v>2088</v>
      </c>
      <c r="D396" s="3085">
        <v>3</v>
      </c>
      <c r="E396" s="3086" t="str">
        <f t="shared" si="59"/>
        <v xml:space="preserve">        ----</v>
      </c>
      <c r="F396" s="3087" t="s">
        <v>2089</v>
      </c>
      <c r="G396" s="3088" t="str">
        <f t="shared" si="60"/>
        <v xml:space="preserve">        ----</v>
      </c>
      <c r="H396" s="3089" t="s">
        <v>6799</v>
      </c>
      <c r="I396" s="3091" t="s">
        <v>6803</v>
      </c>
      <c r="J396" s="3070"/>
      <c r="K396" s="3088" t="str">
        <f t="shared" si="55"/>
        <v xml:space="preserve">        ----</v>
      </c>
      <c r="L396" s="3069" t="s">
        <v>6799</v>
      </c>
      <c r="M396" s="3091" t="s">
        <v>6803</v>
      </c>
      <c r="N396" s="3070"/>
      <c r="O396" s="3097"/>
      <c r="P396" s="3098"/>
      <c r="Q396" s="3098"/>
      <c r="R396" s="3098"/>
      <c r="S396" s="3099" t="s">
        <v>295</v>
      </c>
      <c r="T396" s="3099" t="s">
        <v>213</v>
      </c>
      <c r="U396" s="3100"/>
      <c r="V396" s="3100" t="s">
        <v>295</v>
      </c>
      <c r="W396" s="3100" t="s">
        <v>6797</v>
      </c>
      <c r="X396" s="3100" t="s">
        <v>6798</v>
      </c>
      <c r="Y396" s="3101" t="s">
        <v>164</v>
      </c>
    </row>
    <row r="397" spans="1:25" ht="18" hidden="1">
      <c r="A397" s="1304"/>
      <c r="B397" s="643"/>
      <c r="C397" s="643" t="s">
        <v>2091</v>
      </c>
      <c r="D397" s="3085">
        <v>3</v>
      </c>
      <c r="E397" s="3086" t="str">
        <f t="shared" si="59"/>
        <v xml:space="preserve">        ----</v>
      </c>
      <c r="F397" s="3087" t="s">
        <v>2092</v>
      </c>
      <c r="G397" s="3088" t="str">
        <f t="shared" si="60"/>
        <v xml:space="preserve">        ----</v>
      </c>
      <c r="H397" s="3089" t="s">
        <v>6799</v>
      </c>
      <c r="I397" s="3091" t="s">
        <v>6803</v>
      </c>
      <c r="J397" s="3070"/>
      <c r="K397" s="3088" t="str">
        <f t="shared" si="55"/>
        <v xml:space="preserve">        ----</v>
      </c>
      <c r="L397" s="3069" t="s">
        <v>6799</v>
      </c>
      <c r="M397" s="3091" t="s">
        <v>6803</v>
      </c>
      <c r="N397" s="3070"/>
      <c r="O397" s="3097"/>
      <c r="P397" s="3098"/>
      <c r="Q397" s="3098"/>
      <c r="R397" s="3098"/>
      <c r="S397" s="3099" t="s">
        <v>295</v>
      </c>
      <c r="T397" s="3099" t="s">
        <v>213</v>
      </c>
      <c r="U397" s="3100"/>
      <c r="V397" s="3100" t="s">
        <v>295</v>
      </c>
      <c r="W397" s="3100" t="s">
        <v>6797</v>
      </c>
      <c r="X397" s="3100" t="s">
        <v>6798</v>
      </c>
      <c r="Y397" s="3101" t="s">
        <v>164</v>
      </c>
    </row>
    <row r="398" spans="1:25" ht="24" hidden="1">
      <c r="A398" s="1304"/>
      <c r="B398" s="643"/>
      <c r="C398" s="643" t="s">
        <v>2094</v>
      </c>
      <c r="D398" s="3085">
        <v>3</v>
      </c>
      <c r="E398" s="3086" t="str">
        <f t="shared" si="59"/>
        <v xml:space="preserve">        ----</v>
      </c>
      <c r="F398" s="3087" t="s">
        <v>2095</v>
      </c>
      <c r="G398" s="3088" t="str">
        <f t="shared" si="60"/>
        <v xml:space="preserve">        ----</v>
      </c>
      <c r="H398" s="3089">
        <f ca="1">INDIRECT("Notes!CheckA"&amp;$C398)</f>
        <v>0</v>
      </c>
      <c r="I398" s="3091" t="s">
        <v>6803</v>
      </c>
      <c r="J398" s="3070"/>
      <c r="K398" s="3088" t="str">
        <f t="shared" si="55"/>
        <v xml:space="preserve">        ----</v>
      </c>
      <c r="L398" s="3069">
        <f ca="1">INDIRECT("Notes!CheckB"&amp;$C398)</f>
        <v>0</v>
      </c>
      <c r="M398" s="3091" t="s">
        <v>6803</v>
      </c>
      <c r="N398" s="3070"/>
      <c r="O398" s="3097"/>
      <c r="P398" s="3098"/>
      <c r="Q398" s="3098"/>
      <c r="R398" s="3098"/>
      <c r="S398" s="3099" t="s">
        <v>295</v>
      </c>
      <c r="T398" s="3099" t="s">
        <v>213</v>
      </c>
      <c r="U398" s="3100"/>
      <c r="V398" s="3100" t="s">
        <v>295</v>
      </c>
      <c r="W398" s="3100" t="s">
        <v>6797</v>
      </c>
      <c r="X398" s="3100" t="s">
        <v>6798</v>
      </c>
      <c r="Y398" s="3101" t="s">
        <v>164</v>
      </c>
    </row>
    <row r="399" spans="1:25" ht="24" hidden="1">
      <c r="A399" s="1304"/>
      <c r="B399" s="643"/>
      <c r="C399" s="643" t="s">
        <v>2096</v>
      </c>
      <c r="D399" s="3085">
        <v>3</v>
      </c>
      <c r="E399" s="3086" t="str">
        <f t="shared" si="59"/>
        <v xml:space="preserve">        ----</v>
      </c>
      <c r="F399" s="3087" t="s">
        <v>2097</v>
      </c>
      <c r="G399" s="3088" t="str">
        <f t="shared" si="60"/>
        <v xml:space="preserve">        ----</v>
      </c>
      <c r="H399" s="3089">
        <f ca="1">INDIRECT("Notes!CheckA"&amp;$C399)</f>
        <v>0</v>
      </c>
      <c r="I399" s="3091" t="s">
        <v>6803</v>
      </c>
      <c r="J399" s="3070"/>
      <c r="K399" s="3088" t="str">
        <f t="shared" si="55"/>
        <v xml:space="preserve">        ----</v>
      </c>
      <c r="L399" s="3069">
        <f ca="1">INDIRECT("Notes!CheckB"&amp;$C399)</f>
        <v>0</v>
      </c>
      <c r="M399" s="3091" t="s">
        <v>6803</v>
      </c>
      <c r="N399" s="3070"/>
      <c r="O399" s="3097"/>
      <c r="P399" s="3098"/>
      <c r="Q399" s="3098"/>
      <c r="R399" s="3098"/>
      <c r="S399" s="3099" t="s">
        <v>295</v>
      </c>
      <c r="T399" s="3099" t="s">
        <v>213</v>
      </c>
      <c r="U399" s="3100"/>
      <c r="V399" s="3100" t="s">
        <v>295</v>
      </c>
      <c r="W399" s="3100" t="s">
        <v>6797</v>
      </c>
      <c r="X399" s="3100" t="s">
        <v>6798</v>
      </c>
      <c r="Y399" s="3101" t="s">
        <v>164</v>
      </c>
    </row>
    <row r="400" spans="1:25" ht="24" hidden="1">
      <c r="A400" s="1304"/>
      <c r="B400" s="643"/>
      <c r="C400" s="643" t="s">
        <v>2153</v>
      </c>
      <c r="D400" s="3085">
        <v>3</v>
      </c>
      <c r="E400" s="3086" t="str">
        <f t="shared" si="59"/>
        <v xml:space="preserve">        ----</v>
      </c>
      <c r="F400" s="3087" t="s">
        <v>2154</v>
      </c>
      <c r="G400" s="3088" t="str">
        <f t="shared" si="60"/>
        <v xml:space="preserve">        ----</v>
      </c>
      <c r="H400" s="3089" t="s">
        <v>6799</v>
      </c>
      <c r="I400" s="3091" t="s">
        <v>6803</v>
      </c>
      <c r="J400" s="3070"/>
      <c r="K400" s="3088" t="str">
        <f t="shared" si="55"/>
        <v xml:space="preserve">        ----</v>
      </c>
      <c r="L400" s="3069" t="s">
        <v>6799</v>
      </c>
      <c r="M400" s="3091" t="s">
        <v>6803</v>
      </c>
      <c r="N400" s="3070"/>
      <c r="O400" s="3097"/>
      <c r="P400" s="3098"/>
      <c r="Q400" s="3098"/>
      <c r="R400" s="3098"/>
      <c r="S400" s="3099" t="s">
        <v>295</v>
      </c>
      <c r="T400" s="3099" t="s">
        <v>213</v>
      </c>
      <c r="U400" s="3100"/>
      <c r="V400" s="3100" t="s">
        <v>295</v>
      </c>
      <c r="W400" s="3100" t="s">
        <v>145</v>
      </c>
      <c r="X400" s="3100" t="s">
        <v>6800</v>
      </c>
      <c r="Y400" s="3101" t="s">
        <v>164</v>
      </c>
    </row>
    <row r="401" spans="1:25" ht="24" hidden="1">
      <c r="A401" s="1304"/>
      <c r="B401" s="643"/>
      <c r="C401" s="643" t="s">
        <v>6103</v>
      </c>
      <c r="D401" s="3085">
        <v>3</v>
      </c>
      <c r="E401" s="3086" t="str">
        <f t="shared" si="59"/>
        <v xml:space="preserve">        ----</v>
      </c>
      <c r="F401" s="3087" t="s">
        <v>6102</v>
      </c>
      <c r="G401" s="3088" t="str">
        <f t="shared" si="60"/>
        <v xml:space="preserve">        ----</v>
      </c>
      <c r="H401" s="3089">
        <f ca="1">INDIRECT("Notes!CheckA"&amp;$C401)</f>
        <v>0</v>
      </c>
      <c r="I401" s="3091" t="s">
        <v>6803</v>
      </c>
      <c r="J401" s="3070"/>
      <c r="K401" s="3088" t="str">
        <f t="shared" si="55"/>
        <v xml:space="preserve">        ----</v>
      </c>
      <c r="L401" s="3069">
        <f ca="1">INDIRECT("Notes!CheckB"&amp;$C401)</f>
        <v>0</v>
      </c>
      <c r="M401" s="3091" t="s">
        <v>6803</v>
      </c>
      <c r="N401" s="3070"/>
      <c r="O401" s="3097"/>
      <c r="P401" s="3098"/>
      <c r="Q401" s="3098"/>
      <c r="R401" s="3098"/>
      <c r="S401" s="3099" t="s">
        <v>213</v>
      </c>
      <c r="T401" s="3099" t="s">
        <v>213</v>
      </c>
      <c r="U401" s="3100"/>
      <c r="V401" s="3100" t="s">
        <v>295</v>
      </c>
      <c r="W401" s="3100" t="s">
        <v>6802</v>
      </c>
      <c r="X401" s="3100" t="s">
        <v>6801</v>
      </c>
      <c r="Y401" s="3101" t="s">
        <v>164</v>
      </c>
    </row>
    <row r="402" spans="1:25" ht="24" hidden="1">
      <c r="A402" s="1304"/>
      <c r="B402" s="643"/>
      <c r="C402" s="643" t="s">
        <v>2181</v>
      </c>
      <c r="D402" s="3085">
        <v>3</v>
      </c>
      <c r="E402" s="3086" t="str">
        <f t="shared" si="59"/>
        <v xml:space="preserve">        ----</v>
      </c>
      <c r="F402" s="3087" t="s">
        <v>912</v>
      </c>
      <c r="G402" s="3088" t="str">
        <f t="shared" si="60"/>
        <v xml:space="preserve">        ----</v>
      </c>
      <c r="H402" s="3089">
        <f ca="1">INDIRECT("Notes!CheckA"&amp;$C402)</f>
        <v>0</v>
      </c>
      <c r="I402" s="3091" t="s">
        <v>6803</v>
      </c>
      <c r="J402" s="3070"/>
      <c r="K402" s="3088" t="str">
        <f t="shared" si="55"/>
        <v xml:space="preserve">        ----</v>
      </c>
      <c r="L402" s="3069">
        <f ca="1">INDIRECT("Notes!CheckB"&amp;$C402)</f>
        <v>0</v>
      </c>
      <c r="M402" s="3091" t="s">
        <v>6803</v>
      </c>
      <c r="N402" s="3070"/>
      <c r="O402" s="3097"/>
      <c r="P402" s="3098"/>
      <c r="Q402" s="3098"/>
      <c r="R402" s="3098"/>
      <c r="S402" s="3099" t="s">
        <v>295</v>
      </c>
      <c r="T402" s="3099" t="s">
        <v>213</v>
      </c>
      <c r="U402" s="3100"/>
      <c r="V402" s="3100" t="s">
        <v>295</v>
      </c>
      <c r="W402" s="3100" t="s">
        <v>6797</v>
      </c>
      <c r="X402" s="3100" t="s">
        <v>6800</v>
      </c>
      <c r="Y402" s="3101" t="s">
        <v>164</v>
      </c>
    </row>
    <row r="403" spans="1:25" ht="72" hidden="1">
      <c r="A403" s="1304"/>
      <c r="B403" s="643"/>
      <c r="C403" s="643" t="s">
        <v>2187</v>
      </c>
      <c r="D403" s="150">
        <v>3</v>
      </c>
      <c r="E403" s="1310" t="str">
        <f t="shared" si="59"/>
        <v xml:space="preserve">        ----</v>
      </c>
      <c r="F403" s="163" t="s">
        <v>2188</v>
      </c>
      <c r="G403" s="1311" t="str">
        <f t="shared" si="60"/>
        <v xml:space="preserve">        ----</v>
      </c>
      <c r="H403" s="70" t="s">
        <v>6799</v>
      </c>
      <c r="I403" s="3090" t="s">
        <v>6803</v>
      </c>
      <c r="J403" s="1293"/>
      <c r="K403" s="1311" t="str">
        <f t="shared" si="55"/>
        <v xml:space="preserve">        ----</v>
      </c>
      <c r="L403" s="70" t="s">
        <v>6799</v>
      </c>
      <c r="M403" s="3090" t="s">
        <v>6803</v>
      </c>
      <c r="N403" s="1293"/>
      <c r="O403" s="3097"/>
      <c r="P403" s="3098"/>
      <c r="Q403" s="3098"/>
      <c r="R403" s="3098"/>
      <c r="S403" s="3099" t="s">
        <v>295</v>
      </c>
      <c r="T403" s="3099" t="s">
        <v>213</v>
      </c>
      <c r="U403" s="3100"/>
      <c r="V403" s="3100" t="s">
        <v>295</v>
      </c>
      <c r="W403" s="3100" t="s">
        <v>6797</v>
      </c>
      <c r="X403" s="3100" t="s">
        <v>6800</v>
      </c>
      <c r="Y403" s="3101" t="s">
        <v>164</v>
      </c>
    </row>
    <row r="404" spans="1:25" ht="24" hidden="1">
      <c r="A404" s="1304"/>
      <c r="B404" s="643"/>
      <c r="C404" s="643" t="s">
        <v>2184</v>
      </c>
      <c r="D404" s="150">
        <v>3</v>
      </c>
      <c r="E404" s="1310" t="str">
        <f t="shared" si="59"/>
        <v xml:space="preserve">        ----</v>
      </c>
      <c r="F404" s="163" t="s">
        <v>2185</v>
      </c>
      <c r="G404" s="1311" t="str">
        <f t="shared" si="60"/>
        <v xml:space="preserve">        ----</v>
      </c>
      <c r="H404" s="70" t="s">
        <v>6799</v>
      </c>
      <c r="I404" s="3090" t="s">
        <v>6803</v>
      </c>
      <c r="J404" s="1293"/>
      <c r="K404" s="1311" t="str">
        <f t="shared" si="55"/>
        <v xml:space="preserve">        ----</v>
      </c>
      <c r="L404" s="70" t="s">
        <v>6799</v>
      </c>
      <c r="M404" s="3090" t="s">
        <v>6803</v>
      </c>
      <c r="N404" s="1293"/>
      <c r="O404" s="3097"/>
      <c r="P404" s="3098"/>
      <c r="Q404" s="3098"/>
      <c r="R404" s="3098"/>
      <c r="S404" s="3099" t="s">
        <v>295</v>
      </c>
      <c r="T404" s="3099" t="s">
        <v>213</v>
      </c>
      <c r="U404" s="3100"/>
      <c r="V404" s="3100" t="s">
        <v>295</v>
      </c>
      <c r="W404" s="3100" t="s">
        <v>6797</v>
      </c>
      <c r="X404" s="3100" t="s">
        <v>213</v>
      </c>
      <c r="Y404" s="3101" t="s">
        <v>164</v>
      </c>
    </row>
    <row r="405" spans="1:25" ht="24" hidden="1">
      <c r="A405" s="1304"/>
      <c r="B405" s="643"/>
      <c r="C405" s="643" t="s">
        <v>2190</v>
      </c>
      <c r="D405" s="150">
        <v>3</v>
      </c>
      <c r="E405" s="1310" t="str">
        <f t="shared" si="59"/>
        <v xml:space="preserve">        ----</v>
      </c>
      <c r="F405" s="163" t="s">
        <v>2191</v>
      </c>
      <c r="G405" s="1311" t="str">
        <f t="shared" si="60"/>
        <v xml:space="preserve">        ----</v>
      </c>
      <c r="H405" s="70" t="s">
        <v>6799</v>
      </c>
      <c r="I405" s="3090" t="s">
        <v>6803</v>
      </c>
      <c r="J405" s="1293"/>
      <c r="K405" s="1311" t="str">
        <f t="shared" si="55"/>
        <v xml:space="preserve">        ----</v>
      </c>
      <c r="L405" s="70" t="s">
        <v>6799</v>
      </c>
      <c r="M405" s="3090" t="s">
        <v>6803</v>
      </c>
      <c r="N405" s="1293"/>
      <c r="O405" s="3097"/>
      <c r="P405" s="3098"/>
      <c r="Q405" s="3098"/>
      <c r="R405" s="3098"/>
      <c r="S405" s="3099" t="s">
        <v>295</v>
      </c>
      <c r="T405" s="3099" t="s">
        <v>213</v>
      </c>
      <c r="U405" s="3100"/>
      <c r="V405" s="3100" t="s">
        <v>295</v>
      </c>
      <c r="W405" s="3100" t="s">
        <v>6797</v>
      </c>
      <c r="X405" s="3100" t="s">
        <v>213</v>
      </c>
      <c r="Y405" s="3101"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0" t="s">
        <v>6803</v>
      </c>
      <c r="J406" s="1293"/>
      <c r="K406" s="1311" t="str">
        <f t="shared" si="55"/>
        <v xml:space="preserve">        ----</v>
      </c>
      <c r="L406" s="70">
        <f ca="1">INDIRECT("Notes!CheckB"&amp;$C406)</f>
        <v>0</v>
      </c>
      <c r="M406" s="3090" t="s">
        <v>6803</v>
      </c>
      <c r="N406" s="1293"/>
      <c r="O406" s="3097"/>
      <c r="P406" s="3098"/>
      <c r="Q406" s="3098"/>
      <c r="R406" s="3098"/>
      <c r="S406" s="3099" t="s">
        <v>295</v>
      </c>
      <c r="T406" s="3099" t="s">
        <v>213</v>
      </c>
      <c r="U406" s="3100"/>
      <c r="V406" s="3100" t="s">
        <v>295</v>
      </c>
      <c r="W406" s="3100" t="s">
        <v>6797</v>
      </c>
      <c r="X406" s="3100" t="s">
        <v>213</v>
      </c>
      <c r="Y406" s="3101" t="s">
        <v>164</v>
      </c>
    </row>
    <row r="407" spans="1:25" ht="18" hidden="1">
      <c r="A407" s="1304"/>
      <c r="B407" s="643"/>
      <c r="C407" s="643" t="s">
        <v>2197</v>
      </c>
      <c r="D407" s="150">
        <v>3</v>
      </c>
      <c r="E407" s="1310" t="str">
        <f t="shared" si="59"/>
        <v xml:space="preserve">        ----</v>
      </c>
      <c r="F407" s="163" t="s">
        <v>2198</v>
      </c>
      <c r="G407" s="1311" t="str">
        <f t="shared" si="60"/>
        <v xml:space="preserve">        ----</v>
      </c>
      <c r="H407" s="70" t="s">
        <v>6799</v>
      </c>
      <c r="I407" s="3090" t="s">
        <v>6803</v>
      </c>
      <c r="J407" s="1293"/>
      <c r="K407" s="1311" t="str">
        <f t="shared" si="55"/>
        <v xml:space="preserve">        ----</v>
      </c>
      <c r="L407" s="70" t="s">
        <v>6799</v>
      </c>
      <c r="M407" s="3090" t="s">
        <v>6803</v>
      </c>
      <c r="N407" s="1293"/>
      <c r="O407" s="3097"/>
      <c r="P407" s="3098"/>
      <c r="Q407" s="3098"/>
      <c r="R407" s="3098"/>
      <c r="S407" s="3099" t="s">
        <v>295</v>
      </c>
      <c r="T407" s="3099" t="s">
        <v>213</v>
      </c>
      <c r="U407" s="3100"/>
      <c r="V407" s="3100" t="s">
        <v>295</v>
      </c>
      <c r="W407" s="3100" t="s">
        <v>6797</v>
      </c>
      <c r="X407" s="3100" t="s">
        <v>213</v>
      </c>
      <c r="Y407" s="3101" t="s">
        <v>164</v>
      </c>
    </row>
    <row r="408" spans="1:25" ht="18" hidden="1">
      <c r="A408" s="1304"/>
      <c r="B408" s="643"/>
      <c r="C408" s="643" t="s">
        <v>2200</v>
      </c>
      <c r="D408" s="1313">
        <v>3</v>
      </c>
      <c r="E408" s="1310" t="str">
        <f t="shared" si="59"/>
        <v xml:space="preserve">        ----</v>
      </c>
      <c r="F408" s="163" t="s">
        <v>2201</v>
      </c>
      <c r="G408" s="1314" t="str">
        <f t="shared" si="60"/>
        <v xml:space="preserve">        ----</v>
      </c>
      <c r="H408" s="1315" t="s">
        <v>6799</v>
      </c>
      <c r="I408" s="3090" t="s">
        <v>6803</v>
      </c>
      <c r="J408" s="1293"/>
      <c r="K408" s="1314" t="str">
        <f t="shared" si="55"/>
        <v xml:space="preserve">        ----</v>
      </c>
      <c r="L408" s="1315" t="s">
        <v>6799</v>
      </c>
      <c r="M408" s="3090" t="s">
        <v>6803</v>
      </c>
      <c r="N408" s="1293"/>
      <c r="O408" s="3097"/>
      <c r="P408" s="3098"/>
      <c r="Q408" s="3098"/>
      <c r="R408" s="3098"/>
      <c r="S408" s="3099" t="s">
        <v>295</v>
      </c>
      <c r="T408" s="3099" t="s">
        <v>213</v>
      </c>
      <c r="U408" s="3100"/>
      <c r="V408" s="3100" t="s">
        <v>295</v>
      </c>
      <c r="W408" s="3100" t="s">
        <v>6797</v>
      </c>
      <c r="X408" s="3100" t="s">
        <v>213</v>
      </c>
      <c r="Y408" s="3101" t="s">
        <v>164</v>
      </c>
    </row>
    <row r="409" spans="1:25" ht="18.75" thickBot="1">
      <c r="A409" s="1304"/>
      <c r="B409" s="643"/>
      <c r="C409" s="643"/>
      <c r="D409" s="1316"/>
      <c r="E409" s="1316"/>
      <c r="F409" s="1316"/>
      <c r="G409" s="1316"/>
      <c r="H409" s="1316"/>
      <c r="I409" s="3092"/>
      <c r="J409" s="3092"/>
      <c r="K409" s="1316"/>
      <c r="L409" s="1316"/>
      <c r="M409" s="3092"/>
      <c r="N409" s="3092"/>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zkZjfM0VRtTadbthcuF0iIghnqFulzBAqsrkRvSMCjtLkvDDoFvfmIqNUwa779h9jJeES5Oe04jbT+vX4rdoHQ==" saltValue="som7MrmUeiqCqzTca1rB5A==" spinCount="100000" sheet="1" scenarios="1" formatCells="0" autoFilter="0"/>
  <autoFilter ref="B8:Y408">
    <filterColumn colId="2">
      <filters>
        <filter val="1"/>
      </filters>
    </filterColumn>
  </autoFilter>
  <phoneticPr fontId="163" type="noConversion"/>
  <conditionalFormatting sqref="I9:I408 M9:M408">
    <cfRule type="expression" dxfId="4095"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北京鼎竑信息技术有限公司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1" t="str">
        <f t="shared" ref="E9:E40" si="0">VLOOKUP(D9,Sheet_Items,2,0)</f>
        <v>资产</v>
      </c>
      <c r="F9" s="1270">
        <f>Area_RepDate</f>
        <v>43830</v>
      </c>
      <c r="G9" s="3076">
        <f ca="1">INDIRECT(C9&amp;"!CheckA"&amp;D9)</f>
        <v>0</v>
      </c>
      <c r="H9" s="1271" t="s">
        <v>59</v>
      </c>
      <c r="I9" s="1269">
        <v>5000</v>
      </c>
      <c r="J9" s="3071" t="str">
        <f t="shared" ref="J9:J40" si="1">VLOOKUP(I9,Sheet_Items,2,0)</f>
        <v>负债和所有者权益</v>
      </c>
      <c r="K9" s="1270">
        <f>Area_RepDate</f>
        <v>43830</v>
      </c>
      <c r="L9" s="3076">
        <f ca="1">INDIRECT(H9&amp;"!CheckA"&amp;I9)</f>
        <v>1747379.72</v>
      </c>
      <c r="M9" s="70">
        <f t="shared" ref="M9:M40" ca="1" si="2">ROUND(G9-L9,2)</f>
        <v>-1747379.72</v>
      </c>
      <c r="N9" s="1293" t="str">
        <f t="shared" ref="N9:N40" ca="1" si="3">IF(M9=0,"√","×")</f>
        <v>×</v>
      </c>
      <c r="O9" s="641"/>
      <c r="P9" s="641"/>
      <c r="Q9" s="641"/>
      <c r="R9" s="641"/>
    </row>
    <row r="10" spans="1:18" ht="18">
      <c r="A10" s="30"/>
      <c r="B10" s="3064" t="s">
        <v>79</v>
      </c>
      <c r="C10" s="3065" t="s">
        <v>59</v>
      </c>
      <c r="D10" s="3066">
        <v>1999</v>
      </c>
      <c r="E10" s="3072" t="str">
        <f t="shared" si="0"/>
        <v>资产</v>
      </c>
      <c r="F10" s="3067">
        <f>Area_RepDate1</f>
        <v>43465</v>
      </c>
      <c r="G10" s="3077">
        <f ca="1">INDIRECT(C10&amp;"!CheckB"&amp;D10)</f>
        <v>8268812.3099999996</v>
      </c>
      <c r="H10" s="3068" t="s">
        <v>59</v>
      </c>
      <c r="I10" s="3066">
        <v>5000</v>
      </c>
      <c r="J10" s="3072" t="str">
        <f t="shared" si="1"/>
        <v>负债和所有者权益</v>
      </c>
      <c r="K10" s="3067">
        <f>Area_RepDate1</f>
        <v>43465</v>
      </c>
      <c r="L10" s="3077">
        <f ca="1">INDIRECT(H10&amp;"!CheckB"&amp;I10)</f>
        <v>8268812.3099999996</v>
      </c>
      <c r="M10" s="3069">
        <f t="shared" ca="1" si="2"/>
        <v>0</v>
      </c>
      <c r="N10" s="3070" t="str">
        <f t="shared" ca="1" si="3"/>
        <v>√</v>
      </c>
      <c r="O10" s="641"/>
      <c r="P10" s="641"/>
      <c r="Q10" s="641"/>
      <c r="R10" s="641"/>
    </row>
    <row r="11" spans="1:18" ht="24">
      <c r="A11" s="30"/>
      <c r="B11" s="3064" t="s">
        <v>96</v>
      </c>
      <c r="C11" s="3065" t="s">
        <v>97</v>
      </c>
      <c r="D11" s="3066">
        <v>6811</v>
      </c>
      <c r="E11" s="3073" t="str">
        <f t="shared" si="0"/>
        <v>归属于母公司所有者的净利润</v>
      </c>
      <c r="F11" s="3067" t="str">
        <f>Area_RepDuration</f>
        <v>2019年度</v>
      </c>
      <c r="G11" s="3078">
        <f ca="1">INDIRECT(C11&amp;"!CheckA"&amp;D11)</f>
        <v>1747379.72</v>
      </c>
      <c r="H11" s="3068" t="s">
        <v>99</v>
      </c>
      <c r="I11" s="3066">
        <v>8740</v>
      </c>
      <c r="J11" s="3073" t="str">
        <f t="shared" si="1"/>
        <v>未分配利润_综合收益总额增加权益</v>
      </c>
      <c r="K11" s="3067" t="str">
        <f>Area_RepDuration</f>
        <v>2019年度</v>
      </c>
      <c r="L11" s="3078">
        <f ca="1">INDIRECT(H11&amp;"!CheckA"&amp;I11)</f>
        <v>1747379.72</v>
      </c>
      <c r="M11" s="3069">
        <f t="shared" ca="1" si="2"/>
        <v>0</v>
      </c>
      <c r="N11" s="3070" t="str">
        <f t="shared" ca="1" si="3"/>
        <v>√</v>
      </c>
      <c r="O11" s="641"/>
      <c r="P11" s="641"/>
      <c r="Q11" s="641"/>
      <c r="R11" s="641"/>
    </row>
    <row r="12" spans="1:18" ht="24">
      <c r="A12" s="30"/>
      <c r="B12" s="3064" t="s">
        <v>115</v>
      </c>
      <c r="C12" s="3065" t="s">
        <v>97</v>
      </c>
      <c r="D12" s="3066">
        <v>6811</v>
      </c>
      <c r="E12" s="3072" t="str">
        <f t="shared" si="0"/>
        <v>归属于母公司所有者的净利润</v>
      </c>
      <c r="F12" s="3067" t="str">
        <f>Area_RepDuration1</f>
        <v>2018年度</v>
      </c>
      <c r="G12" s="3077">
        <f ca="1">INDIRECT(C12&amp;"!CheckB"&amp;D12)</f>
        <v>5463681.9299999997</v>
      </c>
      <c r="H12" s="3068" t="s">
        <v>99</v>
      </c>
      <c r="I12" s="3066">
        <v>8740</v>
      </c>
      <c r="J12" s="3072" t="str">
        <f t="shared" si="1"/>
        <v>未分配利润_综合收益总额增加权益</v>
      </c>
      <c r="K12" s="3067" t="str">
        <f>Area_RepDuration1</f>
        <v>2018年度</v>
      </c>
      <c r="L12" s="3077">
        <f ca="1">INDIRECT(H12&amp;"!CheckB"&amp;I12)</f>
        <v>5463681.9299999997</v>
      </c>
      <c r="M12" s="3069">
        <f t="shared" ca="1" si="2"/>
        <v>0</v>
      </c>
      <c r="N12" s="3070" t="str">
        <f t="shared" ca="1" si="3"/>
        <v>√</v>
      </c>
      <c r="O12" s="641"/>
      <c r="P12" s="641"/>
      <c r="Q12" s="641"/>
      <c r="R12" s="641"/>
    </row>
    <row r="13" spans="1:18" ht="24">
      <c r="A13" s="30"/>
      <c r="B13" s="3064" t="s">
        <v>130</v>
      </c>
      <c r="C13" s="3065" t="s">
        <v>97</v>
      </c>
      <c r="D13" s="3066">
        <v>6839</v>
      </c>
      <c r="E13" s="3073" t="str">
        <f t="shared" si="0"/>
        <v>综合收益总额</v>
      </c>
      <c r="F13" s="3067" t="str">
        <f>Area_RepDuration</f>
        <v>2019年度</v>
      </c>
      <c r="G13" s="3078">
        <f ca="1">INDIRECT(C13&amp;"!CheckA"&amp;D13)</f>
        <v>1747379.72</v>
      </c>
      <c r="H13" s="3068" t="s">
        <v>99</v>
      </c>
      <c r="I13" s="3066">
        <v>8040</v>
      </c>
      <c r="J13" s="3073" t="str">
        <f t="shared" si="1"/>
        <v>所有者权益_综合收益总额增加权益</v>
      </c>
      <c r="K13" s="3067" t="str">
        <f>Area_RepDuration</f>
        <v>2019年度</v>
      </c>
      <c r="L13" s="3078">
        <f ca="1">INDIRECT(H13&amp;"!CheckA"&amp;I13)</f>
        <v>1747379.72</v>
      </c>
      <c r="M13" s="3069">
        <f t="shared" ca="1" si="2"/>
        <v>0</v>
      </c>
      <c r="N13" s="3070" t="str">
        <f t="shared" ca="1" si="3"/>
        <v>√</v>
      </c>
      <c r="O13" s="641"/>
      <c r="P13" s="641"/>
      <c r="Q13" s="641"/>
      <c r="R13" s="641"/>
    </row>
    <row r="14" spans="1:18" ht="24">
      <c r="A14" s="30"/>
      <c r="B14" s="3064" t="s">
        <v>143</v>
      </c>
      <c r="C14" s="3065" t="s">
        <v>97</v>
      </c>
      <c r="D14" s="3066">
        <v>6839</v>
      </c>
      <c r="E14" s="3072" t="str">
        <f t="shared" si="0"/>
        <v>综合收益总额</v>
      </c>
      <c r="F14" s="3067" t="str">
        <f>Area_RepDuration1</f>
        <v>2018年度</v>
      </c>
      <c r="G14" s="3077">
        <f ca="1">INDIRECT(C14&amp;"!CheckB"&amp;D14)</f>
        <v>5463681.9299999997</v>
      </c>
      <c r="H14" s="3068" t="s">
        <v>99</v>
      </c>
      <c r="I14" s="3066">
        <v>8040</v>
      </c>
      <c r="J14" s="3072" t="str">
        <f t="shared" si="1"/>
        <v>所有者权益_综合收益总额增加权益</v>
      </c>
      <c r="K14" s="3067" t="str">
        <f>Area_RepDuration1</f>
        <v>2018年度</v>
      </c>
      <c r="L14" s="3077">
        <f ca="1">INDIRECT(H14&amp;"!CheckB"&amp;I14)</f>
        <v>5463681.9299999997</v>
      </c>
      <c r="M14" s="3069">
        <f t="shared" ca="1" si="2"/>
        <v>0</v>
      </c>
      <c r="N14" s="3070" t="str">
        <f t="shared" ca="1" si="3"/>
        <v>√</v>
      </c>
      <c r="O14" s="641"/>
      <c r="P14" s="641"/>
      <c r="Q14" s="641"/>
      <c r="R14" s="641"/>
    </row>
    <row r="15" spans="1:18" ht="36">
      <c r="A15" s="30"/>
      <c r="B15" s="3064" t="s">
        <v>155</v>
      </c>
      <c r="C15" s="3065" t="s">
        <v>97</v>
      </c>
      <c r="D15" s="3066">
        <v>6842</v>
      </c>
      <c r="E15" s="3073" t="str">
        <f t="shared" si="0"/>
        <v>归属于少数股东的综合收益总额</v>
      </c>
      <c r="F15" s="3067" t="str">
        <f>Area_RepDuration</f>
        <v>2019年度</v>
      </c>
      <c r="G15" s="3078">
        <f ca="1">INDIRECT(C15&amp;"!CheckA"&amp;D15)</f>
        <v>0</v>
      </c>
      <c r="H15" s="3068" t="s">
        <v>99</v>
      </c>
      <c r="I15" s="3066">
        <v>8940</v>
      </c>
      <c r="J15" s="3073" t="str">
        <f t="shared" si="1"/>
        <v>少数股东权益_综合收益总额增加权益</v>
      </c>
      <c r="K15" s="3067" t="str">
        <f>Area_RepDuration</f>
        <v>2019年度</v>
      </c>
      <c r="L15" s="3078">
        <f ca="1">INDIRECT(H15&amp;"!CheckA"&amp;I15)</f>
        <v>0</v>
      </c>
      <c r="M15" s="3069">
        <f t="shared" ca="1" si="2"/>
        <v>0</v>
      </c>
      <c r="N15" s="3070" t="str">
        <f t="shared" ca="1" si="3"/>
        <v>√</v>
      </c>
      <c r="O15" s="641"/>
      <c r="P15" s="641"/>
      <c r="Q15" s="641"/>
      <c r="R15" s="641"/>
    </row>
    <row r="16" spans="1:18" ht="36">
      <c r="A16" s="30"/>
      <c r="B16" s="3064" t="s">
        <v>166</v>
      </c>
      <c r="C16" s="3065" t="s">
        <v>97</v>
      </c>
      <c r="D16" s="3066">
        <v>6842</v>
      </c>
      <c r="E16" s="3072" t="str">
        <f t="shared" si="0"/>
        <v>归属于少数股东的综合收益总额</v>
      </c>
      <c r="F16" s="3067" t="str">
        <f>Area_RepDuration1</f>
        <v>2018年度</v>
      </c>
      <c r="G16" s="3077">
        <f ca="1">INDIRECT(C16&amp;"!CheckB"&amp;D16)</f>
        <v>0</v>
      </c>
      <c r="H16" s="3068" t="s">
        <v>99</v>
      </c>
      <c r="I16" s="3066">
        <v>8940</v>
      </c>
      <c r="J16" s="3072" t="str">
        <f t="shared" si="1"/>
        <v>少数股东权益_综合收益总额增加权益</v>
      </c>
      <c r="K16" s="3067" t="str">
        <f t="shared" ref="K16:K25" si="4">Area_RepDuration1</f>
        <v>2018年度</v>
      </c>
      <c r="L16" s="3077">
        <f t="shared" ref="L16:L25" ca="1" si="5">INDIRECT(H16&amp;"!CheckB"&amp;I16)</f>
        <v>0</v>
      </c>
      <c r="M16" s="3069">
        <f t="shared" ca="1" si="2"/>
        <v>0</v>
      </c>
      <c r="N16" s="3070" t="str">
        <f t="shared" ca="1" si="3"/>
        <v>√</v>
      </c>
      <c r="O16" s="641"/>
      <c r="P16" s="641"/>
      <c r="Q16" s="641"/>
      <c r="R16" s="641"/>
    </row>
    <row r="17" spans="1:18" ht="24">
      <c r="A17" s="30"/>
      <c r="B17" s="3064" t="s">
        <v>175</v>
      </c>
      <c r="C17" s="3065" t="s">
        <v>99</v>
      </c>
      <c r="D17" s="3066">
        <v>8110</v>
      </c>
      <c r="E17" s="3073" t="str">
        <f t="shared" si="0"/>
        <v>实收资本_本年年初余额</v>
      </c>
      <c r="F17" s="3067" t="str">
        <f t="shared" ref="F17:F26" si="6">Area_RepDuration</f>
        <v>2019年度</v>
      </c>
      <c r="G17" s="3078">
        <f t="shared" ref="G17:G26" ca="1" si="7">INDIRECT(C17&amp;"!CheckA"&amp;D17)</f>
        <v>0</v>
      </c>
      <c r="H17" s="3068" t="s">
        <v>99</v>
      </c>
      <c r="I17" s="3066">
        <v>8199</v>
      </c>
      <c r="J17" s="3072" t="str">
        <f t="shared" si="1"/>
        <v>实收资本_本期期末余额</v>
      </c>
      <c r="K17" s="3067" t="str">
        <f t="shared" si="4"/>
        <v>2018年度</v>
      </c>
      <c r="L17" s="3077">
        <f t="shared" ca="1" si="5"/>
        <v>1000000</v>
      </c>
      <c r="M17" s="3069">
        <f t="shared" ca="1" si="2"/>
        <v>-1000000</v>
      </c>
      <c r="N17" s="3070" t="str">
        <f t="shared" ca="1" si="3"/>
        <v>×</v>
      </c>
      <c r="O17" s="641"/>
      <c r="P17" s="641"/>
      <c r="Q17" s="641"/>
      <c r="R17" s="641"/>
    </row>
    <row r="18" spans="1:18" ht="24">
      <c r="A18" s="30"/>
      <c r="B18" s="3064" t="s">
        <v>184</v>
      </c>
      <c r="C18" s="3065" t="s">
        <v>99</v>
      </c>
      <c r="D18" s="3066">
        <v>8210</v>
      </c>
      <c r="E18" s="3073" t="str">
        <f t="shared" si="0"/>
        <v>资本公积_本年年初余额</v>
      </c>
      <c r="F18" s="3067" t="str">
        <f t="shared" si="6"/>
        <v>2019年度</v>
      </c>
      <c r="G18" s="3078">
        <f t="shared" ca="1" si="7"/>
        <v>0</v>
      </c>
      <c r="H18" s="3068" t="s">
        <v>99</v>
      </c>
      <c r="I18" s="3066">
        <v>8299</v>
      </c>
      <c r="J18" s="3072" t="str">
        <f t="shared" si="1"/>
        <v>资本公积_本期期末余额</v>
      </c>
      <c r="K18" s="3067" t="str">
        <f t="shared" si="4"/>
        <v>2018年度</v>
      </c>
      <c r="L18" s="3077">
        <f t="shared" ca="1" si="5"/>
        <v>0</v>
      </c>
      <c r="M18" s="3069">
        <f t="shared" ca="1" si="2"/>
        <v>0</v>
      </c>
      <c r="N18" s="3070" t="str">
        <f t="shared" ca="1" si="3"/>
        <v>√</v>
      </c>
      <c r="O18" s="641"/>
      <c r="P18" s="641"/>
      <c r="Q18" s="641"/>
      <c r="R18" s="641"/>
    </row>
    <row r="19" spans="1:18" ht="24">
      <c r="A19" s="30"/>
      <c r="B19" s="3064" t="s">
        <v>195</v>
      </c>
      <c r="C19" s="3065" t="s">
        <v>99</v>
      </c>
      <c r="D19" s="3066">
        <v>8310</v>
      </c>
      <c r="E19" s="3073" t="str">
        <f t="shared" si="0"/>
        <v>库存股_本年年初余额</v>
      </c>
      <c r="F19" s="3067" t="str">
        <f t="shared" si="6"/>
        <v>2019年度</v>
      </c>
      <c r="G19" s="3078">
        <f t="shared" ca="1" si="7"/>
        <v>0</v>
      </c>
      <c r="H19" s="3068" t="s">
        <v>99</v>
      </c>
      <c r="I19" s="3066">
        <v>8399</v>
      </c>
      <c r="J19" s="3072" t="str">
        <f t="shared" si="1"/>
        <v>库存股_本期期末余额</v>
      </c>
      <c r="K19" s="3067" t="str">
        <f t="shared" si="4"/>
        <v>2018年度</v>
      </c>
      <c r="L19" s="3077">
        <f t="shared" ca="1" si="5"/>
        <v>0</v>
      </c>
      <c r="M19" s="3069">
        <f t="shared" ca="1" si="2"/>
        <v>0</v>
      </c>
      <c r="N19" s="3070" t="str">
        <f t="shared" ca="1" si="3"/>
        <v>√</v>
      </c>
      <c r="O19" s="641"/>
      <c r="P19" s="641"/>
      <c r="Q19" s="641"/>
      <c r="R19" s="641"/>
    </row>
    <row r="20" spans="1:18" ht="24">
      <c r="A20" s="30"/>
      <c r="B20" s="3064" t="s">
        <v>204</v>
      </c>
      <c r="C20" s="3065" t="s">
        <v>99</v>
      </c>
      <c r="D20" s="3066">
        <v>8410</v>
      </c>
      <c r="E20" s="3073" t="str">
        <f t="shared" si="0"/>
        <v>专项储备_本年年初余额</v>
      </c>
      <c r="F20" s="3067" t="str">
        <f t="shared" si="6"/>
        <v>2019年度</v>
      </c>
      <c r="G20" s="3078">
        <f t="shared" ca="1" si="7"/>
        <v>0</v>
      </c>
      <c r="H20" s="3068" t="s">
        <v>99</v>
      </c>
      <c r="I20" s="3066">
        <v>8499</v>
      </c>
      <c r="J20" s="3072" t="str">
        <f t="shared" si="1"/>
        <v>专项储备_本期期末余额</v>
      </c>
      <c r="K20" s="3067" t="str">
        <f t="shared" si="4"/>
        <v>2018年度</v>
      </c>
      <c r="L20" s="3077">
        <f t="shared" ca="1" si="5"/>
        <v>0</v>
      </c>
      <c r="M20" s="3069">
        <f t="shared" ca="1" si="2"/>
        <v>0</v>
      </c>
      <c r="N20" s="3070" t="str">
        <f t="shared" ca="1" si="3"/>
        <v>√</v>
      </c>
      <c r="O20" s="641"/>
      <c r="P20" s="641"/>
      <c r="Q20" s="641"/>
      <c r="R20" s="641"/>
    </row>
    <row r="21" spans="1:18" ht="24">
      <c r="A21" s="30"/>
      <c r="B21" s="3064" t="s">
        <v>214</v>
      </c>
      <c r="C21" s="3065" t="s">
        <v>99</v>
      </c>
      <c r="D21" s="3066">
        <v>8510</v>
      </c>
      <c r="E21" s="3073" t="str">
        <f t="shared" si="0"/>
        <v>盈余公积_本年年初余额</v>
      </c>
      <c r="F21" s="3067" t="str">
        <f t="shared" si="6"/>
        <v>2019年度</v>
      </c>
      <c r="G21" s="3078">
        <f t="shared" ca="1" si="7"/>
        <v>0</v>
      </c>
      <c r="H21" s="3068" t="s">
        <v>99</v>
      </c>
      <c r="I21" s="3066">
        <v>8599</v>
      </c>
      <c r="J21" s="3072" t="str">
        <f t="shared" si="1"/>
        <v>盈余公积_本期期末余额</v>
      </c>
      <c r="K21" s="3067" t="str">
        <f t="shared" si="4"/>
        <v>2018年度</v>
      </c>
      <c r="L21" s="3077">
        <f t="shared" ca="1" si="5"/>
        <v>0</v>
      </c>
      <c r="M21" s="3069">
        <f t="shared" ca="1" si="2"/>
        <v>0</v>
      </c>
      <c r="N21" s="3070" t="str">
        <f t="shared" ca="1" si="3"/>
        <v>√</v>
      </c>
      <c r="O21" s="641"/>
      <c r="P21" s="641"/>
      <c r="Q21" s="641"/>
      <c r="R21" s="641"/>
    </row>
    <row r="22" spans="1:18" ht="24">
      <c r="A22" s="30"/>
      <c r="B22" s="3064" t="s">
        <v>224</v>
      </c>
      <c r="C22" s="3065" t="s">
        <v>99</v>
      </c>
      <c r="D22" s="3066">
        <v>8610</v>
      </c>
      <c r="E22" s="3073" t="str">
        <f t="shared" si="0"/>
        <v>一般风险准备_本年年初余额</v>
      </c>
      <c r="F22" s="3067" t="str">
        <f t="shared" si="6"/>
        <v>2019年度</v>
      </c>
      <c r="G22" s="3078">
        <f t="shared" ca="1" si="7"/>
        <v>0</v>
      </c>
      <c r="H22" s="3068" t="s">
        <v>99</v>
      </c>
      <c r="I22" s="3066">
        <v>8699</v>
      </c>
      <c r="J22" s="3072" t="str">
        <f t="shared" si="1"/>
        <v>一般风险准备_本期期末余额</v>
      </c>
      <c r="K22" s="3067" t="str">
        <f t="shared" si="4"/>
        <v>2018年度</v>
      </c>
      <c r="L22" s="3077">
        <f t="shared" ca="1" si="5"/>
        <v>0</v>
      </c>
      <c r="M22" s="3069">
        <f t="shared" ca="1" si="2"/>
        <v>0</v>
      </c>
      <c r="N22" s="3070" t="str">
        <f t="shared" ca="1" si="3"/>
        <v>√</v>
      </c>
      <c r="O22" s="641"/>
      <c r="P22" s="641"/>
      <c r="Q22" s="641"/>
      <c r="R22" s="641"/>
    </row>
    <row r="23" spans="1:18" ht="24">
      <c r="A23" s="30"/>
      <c r="B23" s="3064" t="s">
        <v>232</v>
      </c>
      <c r="C23" s="3065" t="s">
        <v>99</v>
      </c>
      <c r="D23" s="3066">
        <v>8710</v>
      </c>
      <c r="E23" s="3073" t="str">
        <f t="shared" si="0"/>
        <v>未分配利润_本年年初余额</v>
      </c>
      <c r="F23" s="3067" t="str">
        <f t="shared" si="6"/>
        <v>2019年度</v>
      </c>
      <c r="G23" s="3078">
        <f t="shared" ca="1" si="7"/>
        <v>0</v>
      </c>
      <c r="H23" s="3068" t="s">
        <v>99</v>
      </c>
      <c r="I23" s="3066">
        <v>8799</v>
      </c>
      <c r="J23" s="3072" t="str">
        <f t="shared" si="1"/>
        <v>未分配利润_本期期末余额</v>
      </c>
      <c r="K23" s="3067" t="str">
        <f t="shared" si="4"/>
        <v>2018年度</v>
      </c>
      <c r="L23" s="3077">
        <f t="shared" ca="1" si="5"/>
        <v>-2433969.27</v>
      </c>
      <c r="M23" s="3069">
        <f t="shared" ca="1" si="2"/>
        <v>2433969.27</v>
      </c>
      <c r="N23" s="3070" t="str">
        <f t="shared" ca="1" si="3"/>
        <v>×</v>
      </c>
      <c r="O23" s="641"/>
      <c r="P23" s="641"/>
      <c r="Q23" s="641"/>
      <c r="R23" s="641"/>
    </row>
    <row r="24" spans="1:18" ht="36">
      <c r="A24" s="30"/>
      <c r="B24" s="3064" t="s">
        <v>240</v>
      </c>
      <c r="C24" s="3065" t="s">
        <v>99</v>
      </c>
      <c r="D24" s="3066">
        <v>8810</v>
      </c>
      <c r="E24" s="3073" t="str">
        <f t="shared" si="0"/>
        <v>其他归属于母公司所有者权益_本年年初余额</v>
      </c>
      <c r="F24" s="3067" t="str">
        <f t="shared" si="6"/>
        <v>2019年度</v>
      </c>
      <c r="G24" s="3078">
        <f t="shared" ca="1" si="7"/>
        <v>0</v>
      </c>
      <c r="H24" s="3068" t="s">
        <v>99</v>
      </c>
      <c r="I24" s="3066">
        <v>8899</v>
      </c>
      <c r="J24" s="3072" t="str">
        <f t="shared" si="1"/>
        <v>其他归属于母公司所有者权益_本期期末余额</v>
      </c>
      <c r="K24" s="3067" t="str">
        <f t="shared" si="4"/>
        <v>2018年度</v>
      </c>
      <c r="L24" s="3077">
        <f t="shared" ca="1" si="5"/>
        <v>0</v>
      </c>
      <c r="M24" s="3069">
        <f t="shared" ca="1" si="2"/>
        <v>0</v>
      </c>
      <c r="N24" s="3070" t="str">
        <f t="shared" ca="1" si="3"/>
        <v>√</v>
      </c>
      <c r="O24" s="641"/>
      <c r="P24" s="641"/>
      <c r="Q24" s="641"/>
      <c r="R24" s="641"/>
    </row>
    <row r="25" spans="1:18" ht="24">
      <c r="A25" s="30"/>
      <c r="B25" s="3064" t="s">
        <v>250</v>
      </c>
      <c r="C25" s="3065" t="s">
        <v>99</v>
      </c>
      <c r="D25" s="3066">
        <v>8010</v>
      </c>
      <c r="E25" s="3073" t="str">
        <f t="shared" si="0"/>
        <v>所有者权益_本年年初余额</v>
      </c>
      <c r="F25" s="3067" t="str">
        <f t="shared" si="6"/>
        <v>2019年度</v>
      </c>
      <c r="G25" s="3078">
        <f t="shared" ca="1" si="7"/>
        <v>0</v>
      </c>
      <c r="H25" s="3068" t="s">
        <v>99</v>
      </c>
      <c r="I25" s="3066">
        <v>8099</v>
      </c>
      <c r="J25" s="3072" t="str">
        <f t="shared" si="1"/>
        <v>所有者权益_本期期末余额</v>
      </c>
      <c r="K25" s="3067" t="str">
        <f t="shared" si="4"/>
        <v>2018年度</v>
      </c>
      <c r="L25" s="3077">
        <f t="shared" ca="1" si="5"/>
        <v>-1433969.27</v>
      </c>
      <c r="M25" s="3069">
        <f t="shared" ca="1" si="2"/>
        <v>1433969.27</v>
      </c>
      <c r="N25" s="3070" t="str">
        <f t="shared" ca="1" si="3"/>
        <v>×</v>
      </c>
      <c r="O25" s="641"/>
      <c r="P25" s="641"/>
      <c r="Q25" s="641"/>
      <c r="R25" s="641"/>
    </row>
    <row r="26" spans="1:18" ht="24">
      <c r="A26" s="30"/>
      <c r="B26" s="3064" t="s">
        <v>260</v>
      </c>
      <c r="C26" s="3065" t="s">
        <v>99</v>
      </c>
      <c r="D26" s="3066">
        <v>8199</v>
      </c>
      <c r="E26" s="3073" t="str">
        <f t="shared" si="0"/>
        <v>实收资本_本期期末余额</v>
      </c>
      <c r="F26" s="3067" t="str">
        <f t="shared" si="6"/>
        <v>2019年度</v>
      </c>
      <c r="G26" s="3078">
        <f t="shared" ca="1" si="7"/>
        <v>0</v>
      </c>
      <c r="H26" s="3068" t="s">
        <v>59</v>
      </c>
      <c r="I26" s="3066">
        <v>4001</v>
      </c>
      <c r="J26" s="3073" t="str">
        <f t="shared" si="1"/>
        <v>实收资本</v>
      </c>
      <c r="K26" s="3067">
        <f>Area_RepDate</f>
        <v>43830</v>
      </c>
      <c r="L26" s="3078">
        <f ca="1">INDIRECT(H26&amp;"!CheckA"&amp;I26)</f>
        <v>0</v>
      </c>
      <c r="M26" s="3069">
        <f t="shared" ca="1" si="2"/>
        <v>0</v>
      </c>
      <c r="N26" s="3070" t="str">
        <f t="shared" ca="1" si="3"/>
        <v>√</v>
      </c>
      <c r="O26" s="641"/>
      <c r="P26" s="641"/>
      <c r="Q26" s="641"/>
      <c r="R26" s="641"/>
    </row>
    <row r="27" spans="1:18" ht="24">
      <c r="A27" s="30"/>
      <c r="B27" s="3064" t="s">
        <v>268</v>
      </c>
      <c r="C27" s="3065" t="s">
        <v>99</v>
      </c>
      <c r="D27" s="3066">
        <v>8199</v>
      </c>
      <c r="E27" s="3072" t="str">
        <f t="shared" si="0"/>
        <v>实收资本_本期期末余额</v>
      </c>
      <c r="F27" s="3067" t="str">
        <f>Area_RepDuration1</f>
        <v>2018年度</v>
      </c>
      <c r="G27" s="3077">
        <f ca="1">INDIRECT(C27&amp;"!CheckB"&amp;D27)</f>
        <v>1000000</v>
      </c>
      <c r="H27" s="3068" t="s">
        <v>59</v>
      </c>
      <c r="I27" s="3066">
        <v>4001</v>
      </c>
      <c r="J27" s="3072" t="str">
        <f t="shared" si="1"/>
        <v>实收资本</v>
      </c>
      <c r="K27" s="3067">
        <f>Area_RepDate1</f>
        <v>43465</v>
      </c>
      <c r="L27" s="3077">
        <f ca="1">INDIRECT(H27&amp;"!CheckB"&amp;I27)</f>
        <v>1000000</v>
      </c>
      <c r="M27" s="3069">
        <f t="shared" ca="1" si="2"/>
        <v>0</v>
      </c>
      <c r="N27" s="3070" t="str">
        <f t="shared" ca="1" si="3"/>
        <v>√</v>
      </c>
      <c r="O27" s="641"/>
      <c r="P27" s="641"/>
      <c r="Q27" s="641"/>
      <c r="R27" s="641"/>
    </row>
    <row r="28" spans="1:18" ht="24">
      <c r="A28" s="30"/>
      <c r="B28" s="3064" t="s">
        <v>277</v>
      </c>
      <c r="C28" s="3065" t="s">
        <v>99</v>
      </c>
      <c r="D28" s="3066">
        <v>8299</v>
      </c>
      <c r="E28" s="3073" t="str">
        <f t="shared" si="0"/>
        <v>资本公积_本期期末余额</v>
      </c>
      <c r="F28" s="3067" t="str">
        <f>Area_RepDuration</f>
        <v>2019年度</v>
      </c>
      <c r="G28" s="3078">
        <f ca="1">INDIRECT(C28&amp;"!CheckA"&amp;D28)</f>
        <v>0</v>
      </c>
      <c r="H28" s="3068" t="s">
        <v>59</v>
      </c>
      <c r="I28" s="3066">
        <v>4002</v>
      </c>
      <c r="J28" s="3073" t="str">
        <f t="shared" si="1"/>
        <v>资本公积</v>
      </c>
      <c r="K28" s="3067">
        <f>Area_RepDate</f>
        <v>43830</v>
      </c>
      <c r="L28" s="3078">
        <f ca="1">INDIRECT(H28&amp;"!CheckA"&amp;I28)</f>
        <v>0</v>
      </c>
      <c r="M28" s="3069">
        <f t="shared" ca="1" si="2"/>
        <v>0</v>
      </c>
      <c r="N28" s="3070" t="str">
        <f t="shared" ca="1" si="3"/>
        <v>√</v>
      </c>
      <c r="O28" s="641"/>
      <c r="P28" s="641"/>
      <c r="Q28" s="641"/>
      <c r="R28" s="641"/>
    </row>
    <row r="29" spans="1:18" ht="24">
      <c r="A29" s="30"/>
      <c r="B29" s="3064" t="s">
        <v>285</v>
      </c>
      <c r="C29" s="3065" t="s">
        <v>99</v>
      </c>
      <c r="D29" s="3066">
        <v>8299</v>
      </c>
      <c r="E29" s="3072" t="str">
        <f t="shared" si="0"/>
        <v>资本公积_本期期末余额</v>
      </c>
      <c r="F29" s="3067" t="str">
        <f>Area_RepDuration1</f>
        <v>2018年度</v>
      </c>
      <c r="G29" s="3077">
        <f ca="1">INDIRECT(C29&amp;"!CheckB"&amp;D29)</f>
        <v>0</v>
      </c>
      <c r="H29" s="3068" t="s">
        <v>59</v>
      </c>
      <c r="I29" s="3066">
        <v>4002</v>
      </c>
      <c r="J29" s="3072" t="str">
        <f t="shared" si="1"/>
        <v>资本公积</v>
      </c>
      <c r="K29" s="3067">
        <f>Area_RepDate1</f>
        <v>43465</v>
      </c>
      <c r="L29" s="3077">
        <f ca="1">INDIRECT(H29&amp;"!CheckB"&amp;I29)</f>
        <v>0</v>
      </c>
      <c r="M29" s="3069">
        <f t="shared" ca="1" si="2"/>
        <v>0</v>
      </c>
      <c r="N29" s="3070" t="str">
        <f t="shared" ca="1" si="3"/>
        <v>√</v>
      </c>
      <c r="O29" s="641"/>
      <c r="P29" s="641"/>
      <c r="Q29" s="641"/>
      <c r="R29" s="641"/>
    </row>
    <row r="30" spans="1:18" ht="24">
      <c r="A30" s="30"/>
      <c r="B30" s="3064" t="s">
        <v>296</v>
      </c>
      <c r="C30" s="3065" t="s">
        <v>99</v>
      </c>
      <c r="D30" s="3066">
        <v>8399</v>
      </c>
      <c r="E30" s="3073" t="str">
        <f t="shared" si="0"/>
        <v>库存股_本期期末余额</v>
      </c>
      <c r="F30" s="3067" t="str">
        <f>Area_RepDuration</f>
        <v>2019年度</v>
      </c>
      <c r="G30" s="3078">
        <f ca="1">INDIRECT(C30&amp;"!CheckA"&amp;D30)</f>
        <v>0</v>
      </c>
      <c r="H30" s="3068" t="s">
        <v>59</v>
      </c>
      <c r="I30" s="3066">
        <v>4201</v>
      </c>
      <c r="J30" s="3073" t="str">
        <f t="shared" si="1"/>
        <v>库存股</v>
      </c>
      <c r="K30" s="3067">
        <f>Area_RepDate</f>
        <v>43830</v>
      </c>
      <c r="L30" s="3078">
        <f ca="1">INDIRECT(H30&amp;"!CheckA"&amp;I30)</f>
        <v>0</v>
      </c>
      <c r="M30" s="3069">
        <f t="shared" ca="1" si="2"/>
        <v>0</v>
      </c>
      <c r="N30" s="3070" t="str">
        <f t="shared" ca="1" si="3"/>
        <v>√</v>
      </c>
      <c r="O30" s="641"/>
      <c r="P30" s="641"/>
      <c r="Q30" s="641"/>
      <c r="R30" s="641"/>
    </row>
    <row r="31" spans="1:18" ht="24">
      <c r="A31" s="30"/>
      <c r="B31" s="3064" t="s">
        <v>306</v>
      </c>
      <c r="C31" s="3065" t="s">
        <v>99</v>
      </c>
      <c r="D31" s="3066">
        <v>8399</v>
      </c>
      <c r="E31" s="3072" t="str">
        <f t="shared" si="0"/>
        <v>库存股_本期期末余额</v>
      </c>
      <c r="F31" s="3067" t="str">
        <f>Area_RepDuration1</f>
        <v>2018年度</v>
      </c>
      <c r="G31" s="3077">
        <f ca="1">INDIRECT(C31&amp;"!CheckB"&amp;D31)</f>
        <v>0</v>
      </c>
      <c r="H31" s="3068" t="s">
        <v>59</v>
      </c>
      <c r="I31" s="3066">
        <v>4201</v>
      </c>
      <c r="J31" s="3072" t="str">
        <f t="shared" si="1"/>
        <v>库存股</v>
      </c>
      <c r="K31" s="3067">
        <f>Area_RepDate1</f>
        <v>43465</v>
      </c>
      <c r="L31" s="3077">
        <f ca="1">INDIRECT(H31&amp;"!CheckB"&amp;I31)</f>
        <v>0</v>
      </c>
      <c r="M31" s="3069">
        <f t="shared" ca="1" si="2"/>
        <v>0</v>
      </c>
      <c r="N31" s="3070" t="str">
        <f t="shared" ca="1" si="3"/>
        <v>√</v>
      </c>
      <c r="O31" s="641"/>
      <c r="P31" s="641"/>
      <c r="Q31" s="641"/>
      <c r="R31" s="641"/>
    </row>
    <row r="32" spans="1:18" ht="24">
      <c r="A32" s="30"/>
      <c r="B32" s="3064" t="s">
        <v>312</v>
      </c>
      <c r="C32" s="3065" t="s">
        <v>99</v>
      </c>
      <c r="D32" s="3066">
        <v>8499</v>
      </c>
      <c r="E32" s="3073" t="str">
        <f t="shared" si="0"/>
        <v>专项储备_本期期末余额</v>
      </c>
      <c r="F32" s="3067" t="str">
        <f>Area_RepDuration</f>
        <v>2019年度</v>
      </c>
      <c r="G32" s="3078">
        <f ca="1">INDIRECT(C32&amp;"!CheckA"&amp;D32)</f>
        <v>0</v>
      </c>
      <c r="H32" s="3068" t="s">
        <v>59</v>
      </c>
      <c r="I32" s="3066">
        <v>4301</v>
      </c>
      <c r="J32" s="3073" t="str">
        <f t="shared" si="1"/>
        <v>专项储备</v>
      </c>
      <c r="K32" s="3067">
        <f>Area_RepDate</f>
        <v>43830</v>
      </c>
      <c r="L32" s="3078">
        <f ca="1">INDIRECT(H32&amp;"!CheckA"&amp;I32)</f>
        <v>0</v>
      </c>
      <c r="M32" s="3069">
        <f t="shared" ca="1" si="2"/>
        <v>0</v>
      </c>
      <c r="N32" s="3070" t="str">
        <f t="shared" ca="1" si="3"/>
        <v>√</v>
      </c>
      <c r="O32" s="641"/>
      <c r="P32" s="641"/>
      <c r="Q32" s="641"/>
      <c r="R32" s="641"/>
    </row>
    <row r="33" spans="1:18" ht="24">
      <c r="A33" s="30"/>
      <c r="B33" s="3064" t="s">
        <v>318</v>
      </c>
      <c r="C33" s="3065" t="s">
        <v>99</v>
      </c>
      <c r="D33" s="3066">
        <v>8499</v>
      </c>
      <c r="E33" s="3072" t="str">
        <f t="shared" si="0"/>
        <v>专项储备_本期期末余额</v>
      </c>
      <c r="F33" s="3067" t="str">
        <f>Area_RepDuration1</f>
        <v>2018年度</v>
      </c>
      <c r="G33" s="3077">
        <f ca="1">INDIRECT(C33&amp;"!CheckB"&amp;D33)</f>
        <v>0</v>
      </c>
      <c r="H33" s="3068" t="s">
        <v>59</v>
      </c>
      <c r="I33" s="3066">
        <v>4301</v>
      </c>
      <c r="J33" s="3072" t="str">
        <f t="shared" si="1"/>
        <v>专项储备</v>
      </c>
      <c r="K33" s="3067">
        <f>Area_RepDate1</f>
        <v>43465</v>
      </c>
      <c r="L33" s="3077">
        <f ca="1">INDIRECT(H33&amp;"!CheckB"&amp;I33)</f>
        <v>0</v>
      </c>
      <c r="M33" s="3069">
        <f t="shared" ca="1" si="2"/>
        <v>0</v>
      </c>
      <c r="N33" s="3070" t="str">
        <f t="shared" ca="1" si="3"/>
        <v>√</v>
      </c>
      <c r="O33" s="641"/>
      <c r="P33" s="641"/>
      <c r="Q33" s="641"/>
      <c r="R33" s="641"/>
    </row>
    <row r="34" spans="1:18" ht="24">
      <c r="A34" s="30"/>
      <c r="B34" s="3064" t="s">
        <v>324</v>
      </c>
      <c r="C34" s="3065" t="s">
        <v>99</v>
      </c>
      <c r="D34" s="3066">
        <v>8599</v>
      </c>
      <c r="E34" s="3073" t="str">
        <f t="shared" si="0"/>
        <v>盈余公积_本期期末余额</v>
      </c>
      <c r="F34" s="3067" t="str">
        <f>Area_RepDuration</f>
        <v>2019年度</v>
      </c>
      <c r="G34" s="3078">
        <f ca="1">INDIRECT(C34&amp;"!CheckA"&amp;D34)</f>
        <v>0</v>
      </c>
      <c r="H34" s="3068" t="s">
        <v>59</v>
      </c>
      <c r="I34" s="3066">
        <v>4101</v>
      </c>
      <c r="J34" s="3073" t="str">
        <f t="shared" si="1"/>
        <v>盈余公积</v>
      </c>
      <c r="K34" s="3067">
        <f>Area_RepDate</f>
        <v>43830</v>
      </c>
      <c r="L34" s="3078">
        <f ca="1">INDIRECT(H34&amp;"!CheckA"&amp;I34)</f>
        <v>0</v>
      </c>
      <c r="M34" s="3069">
        <f t="shared" ca="1" si="2"/>
        <v>0</v>
      </c>
      <c r="N34" s="3070" t="str">
        <f t="shared" ca="1" si="3"/>
        <v>√</v>
      </c>
      <c r="O34" s="641"/>
      <c r="P34" s="641"/>
      <c r="Q34" s="641"/>
      <c r="R34" s="641"/>
    </row>
    <row r="35" spans="1:18" ht="24">
      <c r="A35" s="30"/>
      <c r="B35" s="3064" t="s">
        <v>330</v>
      </c>
      <c r="C35" s="3065" t="s">
        <v>99</v>
      </c>
      <c r="D35" s="3066">
        <v>8599</v>
      </c>
      <c r="E35" s="3072" t="str">
        <f t="shared" si="0"/>
        <v>盈余公积_本期期末余额</v>
      </c>
      <c r="F35" s="3067" t="str">
        <f>Area_RepDuration1</f>
        <v>2018年度</v>
      </c>
      <c r="G35" s="3077">
        <f ca="1">INDIRECT(C35&amp;"!CheckB"&amp;D35)</f>
        <v>0</v>
      </c>
      <c r="H35" s="3068" t="s">
        <v>59</v>
      </c>
      <c r="I35" s="3066">
        <v>4101</v>
      </c>
      <c r="J35" s="3072" t="str">
        <f t="shared" si="1"/>
        <v>盈余公积</v>
      </c>
      <c r="K35" s="3067">
        <f>Area_RepDate1</f>
        <v>43465</v>
      </c>
      <c r="L35" s="3077">
        <f ca="1">INDIRECT(H35&amp;"!CheckB"&amp;I35)</f>
        <v>0</v>
      </c>
      <c r="M35" s="3069">
        <f t="shared" ca="1" si="2"/>
        <v>0</v>
      </c>
      <c r="N35" s="3070" t="str">
        <f t="shared" ca="1" si="3"/>
        <v>√</v>
      </c>
      <c r="O35" s="641"/>
      <c r="P35" s="641"/>
      <c r="Q35" s="641"/>
      <c r="R35" s="641"/>
    </row>
    <row r="36" spans="1:18" ht="24">
      <c r="A36" s="30"/>
      <c r="B36" s="3064" t="s">
        <v>338</v>
      </c>
      <c r="C36" s="3065" t="s">
        <v>99</v>
      </c>
      <c r="D36" s="3066">
        <v>8699</v>
      </c>
      <c r="E36" s="3073" t="str">
        <f t="shared" si="0"/>
        <v>一般风险准备_本期期末余额</v>
      </c>
      <c r="F36" s="3067" t="str">
        <f>Area_RepDuration</f>
        <v>2019年度</v>
      </c>
      <c r="G36" s="3078">
        <f ca="1">INDIRECT(C36&amp;"!CheckA"&amp;D36)</f>
        <v>0</v>
      </c>
      <c r="H36" s="3068" t="s">
        <v>59</v>
      </c>
      <c r="I36" s="3066">
        <v>4102</v>
      </c>
      <c r="J36" s="3073" t="str">
        <f t="shared" si="1"/>
        <v>一般风险准备</v>
      </c>
      <c r="K36" s="3067">
        <f>Area_RepDate</f>
        <v>43830</v>
      </c>
      <c r="L36" s="3078">
        <f ca="1">INDIRECT(H36&amp;"!CheckA"&amp;I36)</f>
        <v>0</v>
      </c>
      <c r="M36" s="3069">
        <f t="shared" ca="1" si="2"/>
        <v>0</v>
      </c>
      <c r="N36" s="3070" t="str">
        <f t="shared" ca="1" si="3"/>
        <v>√</v>
      </c>
      <c r="O36" s="641"/>
      <c r="P36" s="641"/>
      <c r="Q36" s="641"/>
      <c r="R36" s="641"/>
    </row>
    <row r="37" spans="1:18" ht="24">
      <c r="A37" s="30"/>
      <c r="B37" s="3064" t="s">
        <v>345</v>
      </c>
      <c r="C37" s="3065" t="s">
        <v>99</v>
      </c>
      <c r="D37" s="3066">
        <v>8699</v>
      </c>
      <c r="E37" s="3072" t="str">
        <f t="shared" si="0"/>
        <v>一般风险准备_本期期末余额</v>
      </c>
      <c r="F37" s="3067" t="str">
        <f>Area_RepDuration1</f>
        <v>2018年度</v>
      </c>
      <c r="G37" s="3077">
        <f ca="1">INDIRECT(C37&amp;"!CheckB"&amp;D37)</f>
        <v>0</v>
      </c>
      <c r="H37" s="3068" t="s">
        <v>59</v>
      </c>
      <c r="I37" s="3066">
        <v>4102</v>
      </c>
      <c r="J37" s="3072" t="str">
        <f t="shared" si="1"/>
        <v>一般风险准备</v>
      </c>
      <c r="K37" s="3067">
        <f>Area_RepDate1</f>
        <v>43465</v>
      </c>
      <c r="L37" s="3077">
        <f ca="1">INDIRECT(H37&amp;"!CheckB"&amp;I37)</f>
        <v>0</v>
      </c>
      <c r="M37" s="3069">
        <f t="shared" ca="1" si="2"/>
        <v>0</v>
      </c>
      <c r="N37" s="3070" t="str">
        <f t="shared" ca="1" si="3"/>
        <v>√</v>
      </c>
      <c r="O37" s="641"/>
      <c r="P37" s="641"/>
      <c r="Q37" s="641"/>
      <c r="R37" s="641"/>
    </row>
    <row r="38" spans="1:18" ht="24">
      <c r="A38" s="30"/>
      <c r="B38" s="3064" t="s">
        <v>352</v>
      </c>
      <c r="C38" s="3065" t="s">
        <v>99</v>
      </c>
      <c r="D38" s="3066">
        <v>8799</v>
      </c>
      <c r="E38" s="3073" t="str">
        <f t="shared" si="0"/>
        <v>未分配利润_本期期末余额</v>
      </c>
      <c r="F38" s="3067" t="str">
        <f>Area_RepDuration</f>
        <v>2019年度</v>
      </c>
      <c r="G38" s="3078">
        <f ca="1">INDIRECT(C38&amp;"!CheckA"&amp;D38)</f>
        <v>1747379.72</v>
      </c>
      <c r="H38" s="3068" t="s">
        <v>59</v>
      </c>
      <c r="I38" s="3066">
        <v>4200</v>
      </c>
      <c r="J38" s="3073" t="str">
        <f t="shared" si="1"/>
        <v>未分配利润</v>
      </c>
      <c r="K38" s="3067">
        <f>Area_RepDate</f>
        <v>43830</v>
      </c>
      <c r="L38" s="3078">
        <f ca="1">INDIRECT(H38&amp;"!CheckA"&amp;I38)</f>
        <v>1747379.72</v>
      </c>
      <c r="M38" s="3069">
        <f t="shared" ca="1" si="2"/>
        <v>0</v>
      </c>
      <c r="N38" s="3070" t="str">
        <f t="shared" ca="1" si="3"/>
        <v>√</v>
      </c>
      <c r="O38" s="641"/>
      <c r="P38" s="641"/>
      <c r="Q38" s="641"/>
      <c r="R38" s="641"/>
    </row>
    <row r="39" spans="1:18" ht="24">
      <c r="A39" s="30"/>
      <c r="B39" s="3064" t="s">
        <v>360</v>
      </c>
      <c r="C39" s="3065" t="s">
        <v>99</v>
      </c>
      <c r="D39" s="3066">
        <v>8799</v>
      </c>
      <c r="E39" s="3072" t="str">
        <f t="shared" si="0"/>
        <v>未分配利润_本期期末余额</v>
      </c>
      <c r="F39" s="3067" t="str">
        <f>Area_RepDuration1</f>
        <v>2018年度</v>
      </c>
      <c r="G39" s="3077">
        <f ca="1">INDIRECT(C39&amp;"!CheckB"&amp;D39)</f>
        <v>-2433969.27</v>
      </c>
      <c r="H39" s="3068" t="s">
        <v>59</v>
      </c>
      <c r="I39" s="3066">
        <v>4200</v>
      </c>
      <c r="J39" s="3072" t="str">
        <f t="shared" si="1"/>
        <v>未分配利润</v>
      </c>
      <c r="K39" s="3067">
        <f>Area_RepDate1</f>
        <v>43465</v>
      </c>
      <c r="L39" s="3077">
        <f ca="1">INDIRECT(H39&amp;"!CheckB"&amp;I39)</f>
        <v>-2433969.27</v>
      </c>
      <c r="M39" s="3069">
        <f t="shared" ca="1" si="2"/>
        <v>0</v>
      </c>
      <c r="N39" s="3070" t="str">
        <f t="shared" ca="1" si="3"/>
        <v>√</v>
      </c>
      <c r="O39" s="641"/>
      <c r="P39" s="641"/>
      <c r="Q39" s="641"/>
      <c r="R39" s="641"/>
    </row>
    <row r="40" spans="1:18" ht="24">
      <c r="A40" s="30"/>
      <c r="B40" s="3064" t="s">
        <v>368</v>
      </c>
      <c r="C40" s="3065" t="s">
        <v>99</v>
      </c>
      <c r="D40" s="3066">
        <v>8099</v>
      </c>
      <c r="E40" s="3073" t="str">
        <f t="shared" si="0"/>
        <v>所有者权益_本期期末余额</v>
      </c>
      <c r="F40" s="3067" t="str">
        <f>Area_RepDuration</f>
        <v>2019年度</v>
      </c>
      <c r="G40" s="3078">
        <f ca="1">INDIRECT(C40&amp;"!CheckA"&amp;D40)</f>
        <v>1747379.72</v>
      </c>
      <c r="H40" s="3068" t="s">
        <v>59</v>
      </c>
      <c r="I40" s="3066">
        <v>4999</v>
      </c>
      <c r="J40" s="3073" t="str">
        <f t="shared" si="1"/>
        <v>所有者权益</v>
      </c>
      <c r="K40" s="3067">
        <f>Area_RepDate</f>
        <v>43830</v>
      </c>
      <c r="L40" s="3078">
        <f ca="1">INDIRECT(H40&amp;"!CheckA"&amp;I40)</f>
        <v>1747379.72</v>
      </c>
      <c r="M40" s="3069">
        <f t="shared" ca="1" si="2"/>
        <v>0</v>
      </c>
      <c r="N40" s="3070" t="str">
        <f t="shared" ca="1" si="3"/>
        <v>√</v>
      </c>
      <c r="O40" s="641"/>
      <c r="P40" s="641"/>
      <c r="Q40" s="641"/>
      <c r="R40" s="641"/>
    </row>
    <row r="41" spans="1:18" ht="24">
      <c r="A41" s="30"/>
      <c r="B41" s="3064" t="s">
        <v>375</v>
      </c>
      <c r="C41" s="3065" t="s">
        <v>99</v>
      </c>
      <c r="D41" s="3066">
        <v>8099</v>
      </c>
      <c r="E41" s="3072" t="str">
        <f t="shared" ref="E41:E72" si="8">VLOOKUP(D41,Sheet_Items,2,0)</f>
        <v>所有者权益_本期期末余额</v>
      </c>
      <c r="F41" s="3067" t="str">
        <f>Area_RepDuration1</f>
        <v>2018年度</v>
      </c>
      <c r="G41" s="3077">
        <f ca="1">INDIRECT(C41&amp;"!CheckB"&amp;D41)</f>
        <v>-1433969.27</v>
      </c>
      <c r="H41" s="3068" t="s">
        <v>59</v>
      </c>
      <c r="I41" s="3066">
        <v>4999</v>
      </c>
      <c r="J41" s="3072" t="str">
        <f t="shared" ref="J41:J72" si="9">VLOOKUP(I41,Sheet_Items,2,0)</f>
        <v>所有者权益</v>
      </c>
      <c r="K41" s="3067">
        <f>Area_RepDate1</f>
        <v>43465</v>
      </c>
      <c r="L41" s="3077">
        <f ca="1">INDIRECT(H41&amp;"!CheckB"&amp;I41)</f>
        <v>-1433969.27</v>
      </c>
      <c r="M41" s="3069">
        <f t="shared" ref="M41:M72" ca="1" si="10">ROUND(G41-L41,2)</f>
        <v>0</v>
      </c>
      <c r="N41" s="3070" t="str">
        <f t="shared" ref="N41:N72" ca="1" si="11">IF(M41=0,"√","×")</f>
        <v>√</v>
      </c>
      <c r="O41" s="641"/>
      <c r="P41" s="641"/>
      <c r="Q41" s="641"/>
      <c r="R41" s="641"/>
    </row>
    <row r="42" spans="1:18" ht="24">
      <c r="A42" s="30"/>
      <c r="B42" s="3064" t="s">
        <v>382</v>
      </c>
      <c r="C42" s="3065" t="s">
        <v>383</v>
      </c>
      <c r="D42" s="3066">
        <v>7349</v>
      </c>
      <c r="E42" s="3073" t="str">
        <f t="shared" si="8"/>
        <v>期初现金及现金等价物余额</v>
      </c>
      <c r="F42" s="3067" t="str">
        <f>Area_RepDuration</f>
        <v>2019年度</v>
      </c>
      <c r="G42" s="3078">
        <f ca="1">INDIRECT(C42&amp;"!CheckA"&amp;D42)</f>
        <v>799162.6</v>
      </c>
      <c r="H42" s="3068" t="s">
        <v>383</v>
      </c>
      <c r="I42" s="3066">
        <v>7399</v>
      </c>
      <c r="J42" s="3072" t="str">
        <f t="shared" si="9"/>
        <v>期末现金及现金等价物余额</v>
      </c>
      <c r="K42" s="3067" t="str">
        <f>Area_RepDuration1</f>
        <v>2018年度</v>
      </c>
      <c r="L42" s="3077">
        <f ca="1">INDIRECT(H42&amp;"!CheckB"&amp;I42)</f>
        <v>799162.6</v>
      </c>
      <c r="M42" s="3069">
        <f t="shared" ca="1" si="10"/>
        <v>0</v>
      </c>
      <c r="N42" s="3070" t="str">
        <f t="shared" ca="1" si="11"/>
        <v>√</v>
      </c>
      <c r="O42" s="641"/>
      <c r="P42" s="641"/>
      <c r="Q42" s="641"/>
      <c r="R42" s="641"/>
    </row>
    <row r="43" spans="1:18" ht="18">
      <c r="A43" s="30"/>
      <c r="B43" s="3064" t="s">
        <v>389</v>
      </c>
      <c r="C43" s="3065" t="s">
        <v>383</v>
      </c>
      <c r="D43" s="3066">
        <v>7502</v>
      </c>
      <c r="E43" s="3073" t="str">
        <f t="shared" si="8"/>
        <v>净利润金额</v>
      </c>
      <c r="F43" s="3067" t="str">
        <f>Area_RepDuration</f>
        <v>2019年度</v>
      </c>
      <c r="G43" s="3078">
        <f ca="1">INDIRECT(C43&amp;"!CheckA"&amp;D43)</f>
        <v>1747379.72</v>
      </c>
      <c r="H43" s="3068" t="s">
        <v>97</v>
      </c>
      <c r="I43" s="3066">
        <v>6799</v>
      </c>
      <c r="J43" s="3073" t="str">
        <f t="shared" si="9"/>
        <v>净利润</v>
      </c>
      <c r="K43" s="3067" t="str">
        <f>Area_RepDuration</f>
        <v>2019年度</v>
      </c>
      <c r="L43" s="3078">
        <f ca="1">INDIRECT(H43&amp;"!CheckA"&amp;I43)</f>
        <v>1747379.72</v>
      </c>
      <c r="M43" s="3069">
        <f t="shared" ca="1" si="10"/>
        <v>0</v>
      </c>
      <c r="N43" s="3070" t="str">
        <f t="shared" ca="1" si="11"/>
        <v>√</v>
      </c>
      <c r="O43" s="641"/>
      <c r="P43" s="641"/>
      <c r="Q43" s="641"/>
      <c r="R43" s="641"/>
    </row>
    <row r="44" spans="1:18" ht="18">
      <c r="A44" s="30"/>
      <c r="B44" s="3064" t="s">
        <v>395</v>
      </c>
      <c r="C44" s="3065" t="s">
        <v>383</v>
      </c>
      <c r="D44" s="3066">
        <v>7502</v>
      </c>
      <c r="E44" s="3072" t="str">
        <f t="shared" si="8"/>
        <v>净利润金额</v>
      </c>
      <c r="F44" s="3067" t="str">
        <f>Area_RepDuration1</f>
        <v>2018年度</v>
      </c>
      <c r="G44" s="3077">
        <f ca="1">INDIRECT(C44&amp;"!CheckB"&amp;D44)</f>
        <v>5463681.9299999997</v>
      </c>
      <c r="H44" s="3068" t="s">
        <v>97</v>
      </c>
      <c r="I44" s="3066">
        <v>6799</v>
      </c>
      <c r="J44" s="3072" t="str">
        <f t="shared" si="9"/>
        <v>净利润</v>
      </c>
      <c r="K44" s="3067" t="str">
        <f>Area_RepDuration1</f>
        <v>2018年度</v>
      </c>
      <c r="L44" s="3077">
        <f ca="1">INDIRECT(H44&amp;"!CheckB"&amp;I44)</f>
        <v>5463681.9299999997</v>
      </c>
      <c r="M44" s="3069">
        <f t="shared" ca="1" si="10"/>
        <v>0</v>
      </c>
      <c r="N44" s="3070" t="str">
        <f t="shared" ca="1" si="11"/>
        <v>√</v>
      </c>
      <c r="O44" s="641"/>
      <c r="P44" s="641"/>
      <c r="Q44" s="641"/>
      <c r="R44" s="641"/>
    </row>
    <row r="45" spans="1:18" ht="24">
      <c r="A45" s="30"/>
      <c r="B45" s="3064" t="s">
        <v>401</v>
      </c>
      <c r="C45" s="3065" t="s">
        <v>383</v>
      </c>
      <c r="D45" s="3066">
        <v>7525</v>
      </c>
      <c r="E45" s="3073" t="str">
        <f t="shared" si="8"/>
        <v>经营活动产生的现金流量净额</v>
      </c>
      <c r="F45" s="3067" t="str">
        <f>Area_RepDuration</f>
        <v>2019年度</v>
      </c>
      <c r="G45" s="3078">
        <f ca="1">INDIRECT(C45&amp;"!CheckA"&amp;D45)</f>
        <v>318801.53999999998</v>
      </c>
      <c r="H45" s="3068" t="s">
        <v>383</v>
      </c>
      <c r="I45" s="3066">
        <v>7099</v>
      </c>
      <c r="J45" s="3073" t="str">
        <f t="shared" si="9"/>
        <v>经营活动产生的现金流量净额</v>
      </c>
      <c r="K45" s="3067" t="str">
        <f>Area_RepDuration</f>
        <v>2019年度</v>
      </c>
      <c r="L45" s="3078">
        <f ca="1">INDIRECT(H45&amp;"!CheckA"&amp;I45)</f>
        <v>318801.53999999998</v>
      </c>
      <c r="M45" s="3069">
        <f t="shared" ca="1" si="10"/>
        <v>0</v>
      </c>
      <c r="N45" s="3070" t="str">
        <f t="shared" ca="1" si="11"/>
        <v>√</v>
      </c>
      <c r="O45" s="641"/>
      <c r="P45" s="641"/>
      <c r="Q45" s="641"/>
      <c r="R45" s="641"/>
    </row>
    <row r="46" spans="1:18" ht="24">
      <c r="A46" s="30"/>
      <c r="B46" s="3064" t="s">
        <v>408</v>
      </c>
      <c r="C46" s="3065" t="s">
        <v>383</v>
      </c>
      <c r="D46" s="3066">
        <v>7525</v>
      </c>
      <c r="E46" s="3072" t="str">
        <f t="shared" si="8"/>
        <v>经营活动产生的现金流量净额</v>
      </c>
      <c r="F46" s="3067" t="str">
        <f>Area_RepDuration1</f>
        <v>2018年度</v>
      </c>
      <c r="G46" s="3077">
        <f ca="1">INDIRECT(C46&amp;"!CheckB"&amp;D46)</f>
        <v>-556243.94999999995</v>
      </c>
      <c r="H46" s="3068" t="s">
        <v>383</v>
      </c>
      <c r="I46" s="3066">
        <v>7099</v>
      </c>
      <c r="J46" s="3072" t="str">
        <f t="shared" si="9"/>
        <v>经营活动产生的现金流量净额</v>
      </c>
      <c r="K46" s="3067" t="str">
        <f>Area_RepDuration1</f>
        <v>2018年度</v>
      </c>
      <c r="L46" s="3077">
        <f ca="1">INDIRECT(H46&amp;"!CheckB"&amp;I46)</f>
        <v>-556243.94999999995</v>
      </c>
      <c r="M46" s="3069">
        <f t="shared" ca="1" si="10"/>
        <v>0</v>
      </c>
      <c r="N46" s="3070" t="str">
        <f t="shared" ca="1" si="11"/>
        <v>√</v>
      </c>
      <c r="O46" s="641"/>
      <c r="P46" s="641"/>
      <c r="Q46" s="641"/>
      <c r="R46" s="641"/>
    </row>
    <row r="47" spans="1:18" ht="24">
      <c r="A47" s="30"/>
      <c r="B47" s="3064" t="s">
        <v>414</v>
      </c>
      <c r="C47" s="3065" t="s">
        <v>383</v>
      </c>
      <c r="D47" s="3066">
        <v>7539</v>
      </c>
      <c r="E47" s="3073" t="str">
        <f t="shared" si="8"/>
        <v>现金及现金等价物净增加额</v>
      </c>
      <c r="F47" s="3067" t="str">
        <f>Area_RepDuration</f>
        <v>2019年度</v>
      </c>
      <c r="G47" s="3078">
        <f ca="1">INDIRECT(C47&amp;"!CheckA"&amp;D47)</f>
        <v>-419198.46</v>
      </c>
      <c r="H47" s="3068" t="s">
        <v>383</v>
      </c>
      <c r="I47" s="3066">
        <v>7348</v>
      </c>
      <c r="J47" s="3073" t="str">
        <f t="shared" si="9"/>
        <v>现金及现金等价物净增加额</v>
      </c>
      <c r="K47" s="3067" t="str">
        <f>Area_RepDuration</f>
        <v>2019年度</v>
      </c>
      <c r="L47" s="3078">
        <f ca="1">INDIRECT(H47&amp;"!CheckA"&amp;I47)</f>
        <v>-419198.46</v>
      </c>
      <c r="M47" s="3069">
        <f t="shared" ca="1" si="10"/>
        <v>0</v>
      </c>
      <c r="N47" s="3070" t="str">
        <f t="shared" ca="1" si="11"/>
        <v>√</v>
      </c>
      <c r="O47" s="641"/>
      <c r="P47" s="641"/>
      <c r="Q47" s="641"/>
      <c r="R47" s="641"/>
    </row>
    <row r="48" spans="1:18" ht="24">
      <c r="A48" s="30"/>
      <c r="B48" s="3064" t="s">
        <v>421</v>
      </c>
      <c r="C48" s="3065" t="s">
        <v>383</v>
      </c>
      <c r="D48" s="3066">
        <v>7539</v>
      </c>
      <c r="E48" s="3072" t="str">
        <f t="shared" si="8"/>
        <v>现金及现金等价物净增加额</v>
      </c>
      <c r="F48" s="3067" t="str">
        <f>Area_RepDuration1</f>
        <v>2018年度</v>
      </c>
      <c r="G48" s="3077">
        <f ca="1">INDIRECT(C48&amp;"!CheckB"&amp;D48)</f>
        <v>638336.48</v>
      </c>
      <c r="H48" s="3068" t="s">
        <v>383</v>
      </c>
      <c r="I48" s="3066">
        <v>7348</v>
      </c>
      <c r="J48" s="3072" t="str">
        <f t="shared" si="9"/>
        <v>现金及现金等价物净增加额</v>
      </c>
      <c r="K48" s="3067" t="str">
        <f>Area_RepDuration1</f>
        <v>2018年度</v>
      </c>
      <c r="L48" s="3077">
        <f ca="1">INDIRECT(H48&amp;"!CheckB"&amp;I48)</f>
        <v>638336.48</v>
      </c>
      <c r="M48" s="3069">
        <f t="shared" ca="1" si="10"/>
        <v>0</v>
      </c>
      <c r="N48" s="3070" t="str">
        <f t="shared" ca="1" si="11"/>
        <v>√</v>
      </c>
      <c r="O48" s="641"/>
      <c r="P48" s="641"/>
      <c r="Q48" s="641"/>
      <c r="R48" s="641"/>
    </row>
    <row r="49" spans="1:18" ht="18">
      <c r="A49" s="30"/>
      <c r="B49" s="3064" t="s">
        <v>427</v>
      </c>
      <c r="C49" s="3065" t="s">
        <v>428</v>
      </c>
      <c r="D49" s="3066">
        <v>1999</v>
      </c>
      <c r="E49" s="3073" t="str">
        <f t="shared" si="8"/>
        <v>资产</v>
      </c>
      <c r="F49" s="3067">
        <f>Area_RepDate</f>
        <v>43830</v>
      </c>
      <c r="G49" s="3078">
        <f ca="1">INDIRECT(C49&amp;"!CheckA"&amp;D49)</f>
        <v>0</v>
      </c>
      <c r="H49" s="3068" t="s">
        <v>428</v>
      </c>
      <c r="I49" s="3066">
        <v>5000</v>
      </c>
      <c r="J49" s="3073" t="str">
        <f t="shared" si="9"/>
        <v>负债和所有者权益</v>
      </c>
      <c r="K49" s="3067">
        <f>Area_RepDate</f>
        <v>43830</v>
      </c>
      <c r="L49" s="3078">
        <f ca="1">INDIRECT(H49&amp;"!CheckA"&amp;I49)</f>
        <v>1747379.72</v>
      </c>
      <c r="M49" s="3069">
        <f t="shared" ca="1" si="10"/>
        <v>-1747379.72</v>
      </c>
      <c r="N49" s="3070" t="str">
        <f t="shared" ca="1" si="11"/>
        <v>×</v>
      </c>
      <c r="O49" s="641"/>
      <c r="P49" s="641"/>
      <c r="Q49" s="641"/>
      <c r="R49" s="641"/>
    </row>
    <row r="50" spans="1:18" ht="18">
      <c r="A50" s="30"/>
      <c r="B50" s="3064" t="s">
        <v>435</v>
      </c>
      <c r="C50" s="3065" t="s">
        <v>428</v>
      </c>
      <c r="D50" s="3066">
        <v>1999</v>
      </c>
      <c r="E50" s="3072" t="str">
        <f t="shared" si="8"/>
        <v>资产</v>
      </c>
      <c r="F50" s="3067">
        <f>Area_RepDate1</f>
        <v>43465</v>
      </c>
      <c r="G50" s="3077">
        <f ca="1">INDIRECT(C50&amp;"!CheckB"&amp;D50)</f>
        <v>8268812.3099999996</v>
      </c>
      <c r="H50" s="3068" t="s">
        <v>428</v>
      </c>
      <c r="I50" s="3066">
        <v>5000</v>
      </c>
      <c r="J50" s="3072" t="str">
        <f t="shared" si="9"/>
        <v>负债和所有者权益</v>
      </c>
      <c r="K50" s="3067">
        <f>Area_RepDate1</f>
        <v>43465</v>
      </c>
      <c r="L50" s="3077">
        <f ca="1">INDIRECT(H50&amp;"!CheckB"&amp;I50)</f>
        <v>8268812.3099999996</v>
      </c>
      <c r="M50" s="3069">
        <f t="shared" ca="1" si="10"/>
        <v>0</v>
      </c>
      <c r="N50" s="3070" t="str">
        <f t="shared" ca="1" si="11"/>
        <v>√</v>
      </c>
      <c r="O50" s="641"/>
      <c r="P50" s="641"/>
      <c r="Q50" s="641"/>
      <c r="R50" s="641"/>
    </row>
    <row r="51" spans="1:18" ht="24">
      <c r="A51" s="30"/>
      <c r="B51" s="3064" t="s">
        <v>440</v>
      </c>
      <c r="C51" s="3065" t="s">
        <v>441</v>
      </c>
      <c r="D51" s="3066">
        <v>6839</v>
      </c>
      <c r="E51" s="3073" t="str">
        <f t="shared" si="8"/>
        <v>综合收益总额</v>
      </c>
      <c r="F51" s="3067" t="str">
        <f>Area_RepDuration</f>
        <v>2019年度</v>
      </c>
      <c r="G51" s="3078">
        <f ca="1">INDIRECT(C51&amp;"!CheckA"&amp;D51)</f>
        <v>1747379.72</v>
      </c>
      <c r="H51" s="3068" t="s">
        <v>442</v>
      </c>
      <c r="I51" s="3066">
        <v>8040</v>
      </c>
      <c r="J51" s="3073" t="str">
        <f t="shared" si="9"/>
        <v>所有者权益_综合收益总额增加权益</v>
      </c>
      <c r="K51" s="3067" t="str">
        <f>Area_RepDuration</f>
        <v>2019年度</v>
      </c>
      <c r="L51" s="3078">
        <f ca="1">INDIRECT(H51&amp;"!CheckA"&amp;I51)</f>
        <v>1747379.72</v>
      </c>
      <c r="M51" s="3069">
        <f t="shared" ca="1" si="10"/>
        <v>0</v>
      </c>
      <c r="N51" s="3070" t="str">
        <f t="shared" ca="1" si="11"/>
        <v>√</v>
      </c>
      <c r="O51" s="641"/>
      <c r="P51" s="641"/>
      <c r="Q51" s="641"/>
      <c r="R51" s="641"/>
    </row>
    <row r="52" spans="1:18" ht="24">
      <c r="A52" s="30"/>
      <c r="B52" s="3064" t="s">
        <v>450</v>
      </c>
      <c r="C52" s="3065" t="s">
        <v>441</v>
      </c>
      <c r="D52" s="3066">
        <v>6839</v>
      </c>
      <c r="E52" s="3072" t="str">
        <f t="shared" si="8"/>
        <v>综合收益总额</v>
      </c>
      <c r="F52" s="3067" t="str">
        <f>Area_RepDuration1</f>
        <v>2018年度</v>
      </c>
      <c r="G52" s="3077">
        <f ca="1">INDIRECT(C52&amp;"!CheckB"&amp;D52)</f>
        <v>5463681.9299999997</v>
      </c>
      <c r="H52" s="3068" t="s">
        <v>442</v>
      </c>
      <c r="I52" s="3066">
        <v>8040</v>
      </c>
      <c r="J52" s="3072" t="str">
        <f t="shared" si="9"/>
        <v>所有者权益_综合收益总额增加权益</v>
      </c>
      <c r="K52" s="3067" t="str">
        <f t="shared" ref="K52:K61" si="12">Area_RepDuration1</f>
        <v>2018年度</v>
      </c>
      <c r="L52" s="3077">
        <f t="shared" ref="L52:L61" ca="1" si="13">INDIRECT(H52&amp;"!CheckB"&amp;I52)</f>
        <v>5463681.9299999997</v>
      </c>
      <c r="M52" s="3069">
        <f t="shared" ca="1" si="10"/>
        <v>0</v>
      </c>
      <c r="N52" s="3070" t="str">
        <f t="shared" ca="1" si="11"/>
        <v>√</v>
      </c>
      <c r="O52" s="641"/>
      <c r="P52" s="641"/>
      <c r="Q52" s="641"/>
      <c r="R52" s="641"/>
    </row>
    <row r="53" spans="1:18" ht="24">
      <c r="A53" s="30"/>
      <c r="B53" s="3064" t="s">
        <v>455</v>
      </c>
      <c r="C53" s="3065" t="s">
        <v>442</v>
      </c>
      <c r="D53" s="3066">
        <v>8110</v>
      </c>
      <c r="E53" s="3073" t="str">
        <f t="shared" si="8"/>
        <v>实收资本_本年年初余额</v>
      </c>
      <c r="F53" s="3067" t="str">
        <f t="shared" ref="F53:F62" si="14">Area_RepDuration</f>
        <v>2019年度</v>
      </c>
      <c r="G53" s="3078">
        <f t="shared" ref="G53:G62" ca="1" si="15">INDIRECT(C53&amp;"!CheckA"&amp;D53)</f>
        <v>0</v>
      </c>
      <c r="H53" s="3068" t="s">
        <v>442</v>
      </c>
      <c r="I53" s="3066">
        <v>8199</v>
      </c>
      <c r="J53" s="3072" t="str">
        <f t="shared" si="9"/>
        <v>实收资本_本期期末余额</v>
      </c>
      <c r="K53" s="3067" t="str">
        <f t="shared" si="12"/>
        <v>2018年度</v>
      </c>
      <c r="L53" s="3077">
        <f t="shared" ca="1" si="13"/>
        <v>1000000</v>
      </c>
      <c r="M53" s="3069">
        <f t="shared" ca="1" si="10"/>
        <v>-1000000</v>
      </c>
      <c r="N53" s="3070" t="str">
        <f t="shared" ca="1" si="11"/>
        <v>×</v>
      </c>
      <c r="O53" s="641"/>
      <c r="P53" s="641"/>
      <c r="Q53" s="641"/>
      <c r="R53" s="641"/>
    </row>
    <row r="54" spans="1:18" ht="24">
      <c r="A54" s="30"/>
      <c r="B54" s="3064" t="s">
        <v>458</v>
      </c>
      <c r="C54" s="3065" t="s">
        <v>442</v>
      </c>
      <c r="D54" s="3066">
        <v>8210</v>
      </c>
      <c r="E54" s="3073" t="str">
        <f t="shared" si="8"/>
        <v>资本公积_本年年初余额</v>
      </c>
      <c r="F54" s="3067" t="str">
        <f t="shared" si="14"/>
        <v>2019年度</v>
      </c>
      <c r="G54" s="3078">
        <f t="shared" ca="1" si="15"/>
        <v>0</v>
      </c>
      <c r="H54" s="3068" t="s">
        <v>442</v>
      </c>
      <c r="I54" s="3066">
        <v>8299</v>
      </c>
      <c r="J54" s="3072" t="str">
        <f t="shared" si="9"/>
        <v>资本公积_本期期末余额</v>
      </c>
      <c r="K54" s="3067" t="str">
        <f t="shared" si="12"/>
        <v>2018年度</v>
      </c>
      <c r="L54" s="3077">
        <f t="shared" ca="1" si="13"/>
        <v>0</v>
      </c>
      <c r="M54" s="3069">
        <f t="shared" ca="1" si="10"/>
        <v>0</v>
      </c>
      <c r="N54" s="3070" t="str">
        <f t="shared" ca="1" si="11"/>
        <v>√</v>
      </c>
      <c r="O54" s="641"/>
      <c r="P54" s="641"/>
      <c r="Q54" s="641"/>
      <c r="R54" s="641"/>
    </row>
    <row r="55" spans="1:18" ht="24">
      <c r="A55" s="30"/>
      <c r="B55" s="3064" t="s">
        <v>463</v>
      </c>
      <c r="C55" s="3065" t="s">
        <v>442</v>
      </c>
      <c r="D55" s="3066">
        <v>8310</v>
      </c>
      <c r="E55" s="3073" t="str">
        <f t="shared" si="8"/>
        <v>库存股_本年年初余额</v>
      </c>
      <c r="F55" s="3067" t="str">
        <f t="shared" si="14"/>
        <v>2019年度</v>
      </c>
      <c r="G55" s="3078">
        <f t="shared" ca="1" si="15"/>
        <v>0</v>
      </c>
      <c r="H55" s="3068" t="s">
        <v>442</v>
      </c>
      <c r="I55" s="3066">
        <v>8399</v>
      </c>
      <c r="J55" s="3072" t="str">
        <f t="shared" si="9"/>
        <v>库存股_本期期末余额</v>
      </c>
      <c r="K55" s="3067" t="str">
        <f t="shared" si="12"/>
        <v>2018年度</v>
      </c>
      <c r="L55" s="3077">
        <f t="shared" ca="1" si="13"/>
        <v>0</v>
      </c>
      <c r="M55" s="3069">
        <f t="shared" ca="1" si="10"/>
        <v>0</v>
      </c>
      <c r="N55" s="3070" t="str">
        <f t="shared" ca="1" si="11"/>
        <v>√</v>
      </c>
      <c r="O55" s="641"/>
      <c r="P55" s="641"/>
      <c r="Q55" s="641"/>
      <c r="R55" s="641"/>
    </row>
    <row r="56" spans="1:18" ht="24">
      <c r="A56" s="30"/>
      <c r="B56" s="3064" t="s">
        <v>468</v>
      </c>
      <c r="C56" s="3065" t="s">
        <v>442</v>
      </c>
      <c r="D56" s="3066">
        <v>8410</v>
      </c>
      <c r="E56" s="3073" t="str">
        <f t="shared" si="8"/>
        <v>专项储备_本年年初余额</v>
      </c>
      <c r="F56" s="3067" t="str">
        <f t="shared" si="14"/>
        <v>2019年度</v>
      </c>
      <c r="G56" s="3078">
        <f t="shared" ca="1" si="15"/>
        <v>0</v>
      </c>
      <c r="H56" s="3068" t="s">
        <v>442</v>
      </c>
      <c r="I56" s="3066">
        <v>8499</v>
      </c>
      <c r="J56" s="3072" t="str">
        <f t="shared" si="9"/>
        <v>专项储备_本期期末余额</v>
      </c>
      <c r="K56" s="3067" t="str">
        <f t="shared" si="12"/>
        <v>2018年度</v>
      </c>
      <c r="L56" s="3077">
        <f t="shared" ca="1" si="13"/>
        <v>0</v>
      </c>
      <c r="M56" s="3069">
        <f t="shared" ca="1" si="10"/>
        <v>0</v>
      </c>
      <c r="N56" s="3070" t="str">
        <f t="shared" ca="1" si="11"/>
        <v>√</v>
      </c>
      <c r="O56" s="641"/>
      <c r="P56" s="641"/>
      <c r="Q56" s="641"/>
      <c r="R56" s="641"/>
    </row>
    <row r="57" spans="1:18" ht="24">
      <c r="A57" s="30"/>
      <c r="B57" s="3064" t="s">
        <v>472</v>
      </c>
      <c r="C57" s="3065" t="s">
        <v>442</v>
      </c>
      <c r="D57" s="3066">
        <v>8510</v>
      </c>
      <c r="E57" s="3073" t="str">
        <f t="shared" si="8"/>
        <v>盈余公积_本年年初余额</v>
      </c>
      <c r="F57" s="3067" t="str">
        <f t="shared" si="14"/>
        <v>2019年度</v>
      </c>
      <c r="G57" s="3078">
        <f t="shared" ca="1" si="15"/>
        <v>0</v>
      </c>
      <c r="H57" s="3068" t="s">
        <v>442</v>
      </c>
      <c r="I57" s="3066">
        <v>8599</v>
      </c>
      <c r="J57" s="3072" t="str">
        <f t="shared" si="9"/>
        <v>盈余公积_本期期末余额</v>
      </c>
      <c r="K57" s="3067" t="str">
        <f t="shared" si="12"/>
        <v>2018年度</v>
      </c>
      <c r="L57" s="3077">
        <f t="shared" ca="1" si="13"/>
        <v>0</v>
      </c>
      <c r="M57" s="3069">
        <f t="shared" ca="1" si="10"/>
        <v>0</v>
      </c>
      <c r="N57" s="3070" t="str">
        <f t="shared" ca="1" si="11"/>
        <v>√</v>
      </c>
      <c r="O57" s="641"/>
      <c r="P57" s="641"/>
      <c r="Q57" s="641"/>
      <c r="R57" s="641"/>
    </row>
    <row r="58" spans="1:18" ht="24">
      <c r="A58" s="30"/>
      <c r="B58" s="3064" t="s">
        <v>477</v>
      </c>
      <c r="C58" s="3065" t="s">
        <v>442</v>
      </c>
      <c r="D58" s="3066">
        <v>8610</v>
      </c>
      <c r="E58" s="3073" t="str">
        <f t="shared" si="8"/>
        <v>一般风险准备_本年年初余额</v>
      </c>
      <c r="F58" s="3067" t="str">
        <f t="shared" si="14"/>
        <v>2019年度</v>
      </c>
      <c r="G58" s="3078" t="e">
        <f t="shared" ca="1" si="15"/>
        <v>#REF!</v>
      </c>
      <c r="H58" s="3068" t="s">
        <v>442</v>
      </c>
      <c r="I58" s="3066">
        <v>8699</v>
      </c>
      <c r="J58" s="3072" t="str">
        <f t="shared" si="9"/>
        <v>一般风险准备_本期期末余额</v>
      </c>
      <c r="K58" s="3067" t="str">
        <f t="shared" si="12"/>
        <v>2018年度</v>
      </c>
      <c r="L58" s="3077">
        <f t="shared" ca="1" si="13"/>
        <v>0</v>
      </c>
      <c r="M58" s="3069" t="e">
        <f t="shared" ca="1" si="10"/>
        <v>#REF!</v>
      </c>
      <c r="N58" s="3070" t="e">
        <f t="shared" ca="1" si="11"/>
        <v>#REF!</v>
      </c>
      <c r="O58" s="641"/>
      <c r="P58" s="641"/>
      <c r="Q58" s="641"/>
      <c r="R58" s="641"/>
    </row>
    <row r="59" spans="1:18" ht="24">
      <c r="A59" s="30"/>
      <c r="B59" s="3064" t="s">
        <v>481</v>
      </c>
      <c r="C59" s="3065" t="s">
        <v>442</v>
      </c>
      <c r="D59" s="3066">
        <v>8710</v>
      </c>
      <c r="E59" s="3073" t="str">
        <f t="shared" si="8"/>
        <v>未分配利润_本年年初余额</v>
      </c>
      <c r="F59" s="3067" t="str">
        <f t="shared" si="14"/>
        <v>2019年度</v>
      </c>
      <c r="G59" s="3078">
        <f t="shared" ca="1" si="15"/>
        <v>0</v>
      </c>
      <c r="H59" s="3068" t="s">
        <v>442</v>
      </c>
      <c r="I59" s="3066">
        <v>8799</v>
      </c>
      <c r="J59" s="3072" t="str">
        <f t="shared" si="9"/>
        <v>未分配利润_本期期末余额</v>
      </c>
      <c r="K59" s="3067" t="str">
        <f t="shared" si="12"/>
        <v>2018年度</v>
      </c>
      <c r="L59" s="3077">
        <f t="shared" ca="1" si="13"/>
        <v>-2433969.27</v>
      </c>
      <c r="M59" s="3069">
        <f t="shared" ca="1" si="10"/>
        <v>2433969.27</v>
      </c>
      <c r="N59" s="3070" t="str">
        <f t="shared" ca="1" si="11"/>
        <v>×</v>
      </c>
      <c r="O59" s="641"/>
      <c r="P59" s="641"/>
      <c r="Q59" s="641"/>
      <c r="R59" s="641"/>
    </row>
    <row r="60" spans="1:18" ht="36">
      <c r="A60" s="30"/>
      <c r="B60" s="3064" t="s">
        <v>485</v>
      </c>
      <c r="C60" s="3065" t="s">
        <v>442</v>
      </c>
      <c r="D60" s="3066">
        <v>8810</v>
      </c>
      <c r="E60" s="3073" t="str">
        <f t="shared" si="8"/>
        <v>其他归属于母公司所有者权益_本年年初余额</v>
      </c>
      <c r="F60" s="3067" t="str">
        <f t="shared" si="14"/>
        <v>2019年度</v>
      </c>
      <c r="G60" s="3078">
        <f t="shared" ca="1" si="15"/>
        <v>0</v>
      </c>
      <c r="H60" s="3068" t="s">
        <v>442</v>
      </c>
      <c r="I60" s="3066">
        <v>8899</v>
      </c>
      <c r="J60" s="3072" t="str">
        <f t="shared" si="9"/>
        <v>其他归属于母公司所有者权益_本期期末余额</v>
      </c>
      <c r="K60" s="3067" t="str">
        <f t="shared" si="12"/>
        <v>2018年度</v>
      </c>
      <c r="L60" s="3077">
        <f t="shared" ca="1" si="13"/>
        <v>0</v>
      </c>
      <c r="M60" s="3069">
        <f t="shared" ca="1" si="10"/>
        <v>0</v>
      </c>
      <c r="N60" s="3070" t="str">
        <f t="shared" ca="1" si="11"/>
        <v>√</v>
      </c>
      <c r="O60" s="641"/>
      <c r="P60" s="641"/>
      <c r="Q60" s="641"/>
      <c r="R60" s="641"/>
    </row>
    <row r="61" spans="1:18" ht="24">
      <c r="A61" s="30"/>
      <c r="B61" s="3064" t="s">
        <v>490</v>
      </c>
      <c r="C61" s="3065" t="s">
        <v>442</v>
      </c>
      <c r="D61" s="3066">
        <v>8010</v>
      </c>
      <c r="E61" s="3073" t="str">
        <f t="shared" si="8"/>
        <v>所有者权益_本年年初余额</v>
      </c>
      <c r="F61" s="3067" t="str">
        <f t="shared" si="14"/>
        <v>2019年度</v>
      </c>
      <c r="G61" s="3078">
        <f t="shared" ca="1" si="15"/>
        <v>0</v>
      </c>
      <c r="H61" s="3068" t="s">
        <v>442</v>
      </c>
      <c r="I61" s="3066">
        <v>8099</v>
      </c>
      <c r="J61" s="3072" t="str">
        <f t="shared" si="9"/>
        <v>所有者权益_本期期末余额</v>
      </c>
      <c r="K61" s="3067" t="str">
        <f t="shared" si="12"/>
        <v>2018年度</v>
      </c>
      <c r="L61" s="3077">
        <f t="shared" ca="1" si="13"/>
        <v>-1433969.27</v>
      </c>
      <c r="M61" s="3069">
        <f t="shared" ca="1" si="10"/>
        <v>1433969.27</v>
      </c>
      <c r="N61" s="3070" t="str">
        <f t="shared" ca="1" si="11"/>
        <v>×</v>
      </c>
      <c r="O61" s="641"/>
      <c r="P61" s="641"/>
      <c r="Q61" s="641"/>
      <c r="R61" s="641"/>
    </row>
    <row r="62" spans="1:18" ht="24">
      <c r="A62" s="30"/>
      <c r="B62" s="3064" t="s">
        <v>495</v>
      </c>
      <c r="C62" s="3065" t="s">
        <v>442</v>
      </c>
      <c r="D62" s="3066">
        <v>8199</v>
      </c>
      <c r="E62" s="3073" t="str">
        <f t="shared" si="8"/>
        <v>实收资本_本期期末余额</v>
      </c>
      <c r="F62" s="3067" t="str">
        <f t="shared" si="14"/>
        <v>2019年度</v>
      </c>
      <c r="G62" s="3078">
        <f t="shared" ca="1" si="15"/>
        <v>0</v>
      </c>
      <c r="H62" s="3068" t="s">
        <v>428</v>
      </c>
      <c r="I62" s="3066">
        <v>4001</v>
      </c>
      <c r="J62" s="3073" t="str">
        <f t="shared" si="9"/>
        <v>实收资本</v>
      </c>
      <c r="K62" s="3067">
        <f>Area_RepDate</f>
        <v>43830</v>
      </c>
      <c r="L62" s="3078">
        <f ca="1">INDIRECT(H62&amp;"!CheckA"&amp;I62)</f>
        <v>0</v>
      </c>
      <c r="M62" s="3069">
        <f t="shared" ca="1" si="10"/>
        <v>0</v>
      </c>
      <c r="N62" s="3070" t="str">
        <f t="shared" ca="1" si="11"/>
        <v>√</v>
      </c>
      <c r="O62" s="641"/>
      <c r="P62" s="641"/>
      <c r="Q62" s="641"/>
      <c r="R62" s="641"/>
    </row>
    <row r="63" spans="1:18" ht="24">
      <c r="A63" s="30"/>
      <c r="B63" s="3064" t="s">
        <v>500</v>
      </c>
      <c r="C63" s="3065" t="s">
        <v>442</v>
      </c>
      <c r="D63" s="3066">
        <v>8199</v>
      </c>
      <c r="E63" s="3072" t="str">
        <f t="shared" si="8"/>
        <v>实收资本_本期期末余额</v>
      </c>
      <c r="F63" s="3067" t="str">
        <f>Area_RepDuration1</f>
        <v>2018年度</v>
      </c>
      <c r="G63" s="3077">
        <f ca="1">INDIRECT(C63&amp;"!CheckB"&amp;D63)</f>
        <v>1000000</v>
      </c>
      <c r="H63" s="3068" t="s">
        <v>428</v>
      </c>
      <c r="I63" s="3066">
        <v>4001</v>
      </c>
      <c r="J63" s="3072" t="str">
        <f t="shared" si="9"/>
        <v>实收资本</v>
      </c>
      <c r="K63" s="3067">
        <f>Area_RepDate1</f>
        <v>43465</v>
      </c>
      <c r="L63" s="3077">
        <f ca="1">INDIRECT(H63&amp;"!CheckB"&amp;I63)</f>
        <v>1000000</v>
      </c>
      <c r="M63" s="3069">
        <f t="shared" ca="1" si="10"/>
        <v>0</v>
      </c>
      <c r="N63" s="3070" t="str">
        <f t="shared" ca="1" si="11"/>
        <v>√</v>
      </c>
      <c r="O63" s="641"/>
      <c r="P63" s="641"/>
      <c r="Q63" s="641"/>
      <c r="R63" s="641"/>
    </row>
    <row r="64" spans="1:18" ht="24">
      <c r="A64" s="30"/>
      <c r="B64" s="3064" t="s">
        <v>508</v>
      </c>
      <c r="C64" s="3065" t="s">
        <v>442</v>
      </c>
      <c r="D64" s="3066">
        <v>8299</v>
      </c>
      <c r="E64" s="3073" t="str">
        <f t="shared" si="8"/>
        <v>资本公积_本期期末余额</v>
      </c>
      <c r="F64" s="3067" t="str">
        <f>Area_RepDuration</f>
        <v>2019年度</v>
      </c>
      <c r="G64" s="3078">
        <f ca="1">INDIRECT(C64&amp;"!CheckA"&amp;D64)</f>
        <v>0</v>
      </c>
      <c r="H64" s="3068" t="s">
        <v>428</v>
      </c>
      <c r="I64" s="3066">
        <v>4002</v>
      </c>
      <c r="J64" s="3073" t="str">
        <f t="shared" si="9"/>
        <v>资本公积</v>
      </c>
      <c r="K64" s="3067">
        <f>Area_RepDate</f>
        <v>43830</v>
      </c>
      <c r="L64" s="3078">
        <f ca="1">INDIRECT(H64&amp;"!CheckA"&amp;I64)</f>
        <v>0</v>
      </c>
      <c r="M64" s="3069">
        <f t="shared" ca="1" si="10"/>
        <v>0</v>
      </c>
      <c r="N64" s="3070" t="str">
        <f t="shared" ca="1" si="11"/>
        <v>√</v>
      </c>
      <c r="O64" s="641"/>
      <c r="P64" s="641"/>
      <c r="Q64" s="641"/>
      <c r="R64" s="641"/>
    </row>
    <row r="65" spans="1:18" ht="24">
      <c r="A65" s="30"/>
      <c r="B65" s="3064" t="s">
        <v>514</v>
      </c>
      <c r="C65" s="3065" t="s">
        <v>442</v>
      </c>
      <c r="D65" s="3066">
        <v>8299</v>
      </c>
      <c r="E65" s="3072" t="str">
        <f t="shared" si="8"/>
        <v>资本公积_本期期末余额</v>
      </c>
      <c r="F65" s="3067" t="str">
        <f>Area_RepDuration1</f>
        <v>2018年度</v>
      </c>
      <c r="G65" s="3077">
        <f ca="1">INDIRECT(C65&amp;"!CheckB"&amp;D65)</f>
        <v>0</v>
      </c>
      <c r="H65" s="3068" t="s">
        <v>428</v>
      </c>
      <c r="I65" s="3066">
        <v>4002</v>
      </c>
      <c r="J65" s="3072" t="str">
        <f t="shared" si="9"/>
        <v>资本公积</v>
      </c>
      <c r="K65" s="3067">
        <f>Area_RepDate1</f>
        <v>43465</v>
      </c>
      <c r="L65" s="3077">
        <f ca="1">INDIRECT(H65&amp;"!CheckB"&amp;I65)</f>
        <v>0</v>
      </c>
      <c r="M65" s="3069">
        <f t="shared" ca="1" si="10"/>
        <v>0</v>
      </c>
      <c r="N65" s="3070" t="str">
        <f t="shared" ca="1" si="11"/>
        <v>√</v>
      </c>
      <c r="O65" s="641"/>
      <c r="P65" s="641"/>
      <c r="Q65" s="641"/>
      <c r="R65" s="641"/>
    </row>
    <row r="66" spans="1:18" ht="24">
      <c r="A66" s="30"/>
      <c r="B66" s="3064" t="s">
        <v>520</v>
      </c>
      <c r="C66" s="3065" t="s">
        <v>442</v>
      </c>
      <c r="D66" s="3066">
        <v>8399</v>
      </c>
      <c r="E66" s="3073" t="str">
        <f t="shared" si="8"/>
        <v>库存股_本期期末余额</v>
      </c>
      <c r="F66" s="3067" t="str">
        <f>Area_RepDuration</f>
        <v>2019年度</v>
      </c>
      <c r="G66" s="3078">
        <f ca="1">INDIRECT(C66&amp;"!CheckA"&amp;D66)</f>
        <v>0</v>
      </c>
      <c r="H66" s="3068" t="s">
        <v>428</v>
      </c>
      <c r="I66" s="3066">
        <v>4201</v>
      </c>
      <c r="J66" s="3073" t="str">
        <f t="shared" si="9"/>
        <v>库存股</v>
      </c>
      <c r="K66" s="3067">
        <f>Area_RepDate</f>
        <v>43830</v>
      </c>
      <c r="L66" s="3078">
        <f ca="1">INDIRECT(H66&amp;"!CheckA"&amp;I66)</f>
        <v>0</v>
      </c>
      <c r="M66" s="3069">
        <f t="shared" ca="1" si="10"/>
        <v>0</v>
      </c>
      <c r="N66" s="3070" t="str">
        <f t="shared" ca="1" si="11"/>
        <v>√</v>
      </c>
      <c r="O66" s="641"/>
      <c r="P66" s="641"/>
      <c r="Q66" s="641"/>
      <c r="R66" s="641"/>
    </row>
    <row r="67" spans="1:18" ht="24">
      <c r="A67" s="30"/>
      <c r="B67" s="3064" t="s">
        <v>525</v>
      </c>
      <c r="C67" s="3065" t="s">
        <v>442</v>
      </c>
      <c r="D67" s="3066">
        <v>8399</v>
      </c>
      <c r="E67" s="3072" t="str">
        <f t="shared" si="8"/>
        <v>库存股_本期期末余额</v>
      </c>
      <c r="F67" s="3067" t="str">
        <f>Area_RepDuration1</f>
        <v>2018年度</v>
      </c>
      <c r="G67" s="3077">
        <f ca="1">INDIRECT(C67&amp;"!CheckB"&amp;D67)</f>
        <v>0</v>
      </c>
      <c r="H67" s="3068" t="s">
        <v>428</v>
      </c>
      <c r="I67" s="3066">
        <v>4201</v>
      </c>
      <c r="J67" s="3072" t="str">
        <f t="shared" si="9"/>
        <v>库存股</v>
      </c>
      <c r="K67" s="3067">
        <f>Area_RepDate1</f>
        <v>43465</v>
      </c>
      <c r="L67" s="3077">
        <f ca="1">INDIRECT(H67&amp;"!CheckB"&amp;I67)</f>
        <v>0</v>
      </c>
      <c r="M67" s="3069">
        <f t="shared" ca="1" si="10"/>
        <v>0</v>
      </c>
      <c r="N67" s="3070" t="str">
        <f t="shared" ca="1" si="11"/>
        <v>√</v>
      </c>
      <c r="O67" s="641"/>
      <c r="P67" s="641"/>
      <c r="Q67" s="641"/>
      <c r="R67" s="641"/>
    </row>
    <row r="68" spans="1:18" ht="24">
      <c r="A68" s="30"/>
      <c r="B68" s="3064" t="s">
        <v>530</v>
      </c>
      <c r="C68" s="3065" t="s">
        <v>442</v>
      </c>
      <c r="D68" s="3066">
        <v>8499</v>
      </c>
      <c r="E68" s="3073" t="str">
        <f t="shared" si="8"/>
        <v>专项储备_本期期末余额</v>
      </c>
      <c r="F68" s="3067" t="str">
        <f>Area_RepDuration</f>
        <v>2019年度</v>
      </c>
      <c r="G68" s="3078">
        <f ca="1">INDIRECT(C68&amp;"!CheckA"&amp;D68)</f>
        <v>0</v>
      </c>
      <c r="H68" s="3068" t="s">
        <v>428</v>
      </c>
      <c r="I68" s="3066">
        <v>4301</v>
      </c>
      <c r="J68" s="3073" t="str">
        <f t="shared" si="9"/>
        <v>专项储备</v>
      </c>
      <c r="K68" s="3067">
        <f>Area_RepDate</f>
        <v>43830</v>
      </c>
      <c r="L68" s="3078">
        <f ca="1">INDIRECT(H68&amp;"!CheckA"&amp;I68)</f>
        <v>0</v>
      </c>
      <c r="M68" s="3069">
        <f t="shared" ca="1" si="10"/>
        <v>0</v>
      </c>
      <c r="N68" s="3070" t="str">
        <f t="shared" ca="1" si="11"/>
        <v>√</v>
      </c>
      <c r="O68" s="641"/>
      <c r="P68" s="641"/>
      <c r="Q68" s="641"/>
      <c r="R68" s="641"/>
    </row>
    <row r="69" spans="1:18" ht="24">
      <c r="A69" s="30"/>
      <c r="B69" s="3064" t="s">
        <v>535</v>
      </c>
      <c r="C69" s="3065" t="s">
        <v>442</v>
      </c>
      <c r="D69" s="3066">
        <v>8499</v>
      </c>
      <c r="E69" s="3072" t="str">
        <f t="shared" si="8"/>
        <v>专项储备_本期期末余额</v>
      </c>
      <c r="F69" s="3067" t="str">
        <f>Area_RepDuration1</f>
        <v>2018年度</v>
      </c>
      <c r="G69" s="3077">
        <f ca="1">INDIRECT(C69&amp;"!CheckB"&amp;D69)</f>
        <v>0</v>
      </c>
      <c r="H69" s="3068" t="s">
        <v>428</v>
      </c>
      <c r="I69" s="3066">
        <v>4301</v>
      </c>
      <c r="J69" s="3072" t="str">
        <f t="shared" si="9"/>
        <v>专项储备</v>
      </c>
      <c r="K69" s="3067">
        <f>Area_RepDate1</f>
        <v>43465</v>
      </c>
      <c r="L69" s="3077">
        <f ca="1">INDIRECT(H69&amp;"!CheckB"&amp;I69)</f>
        <v>0</v>
      </c>
      <c r="M69" s="3069">
        <f t="shared" ca="1" si="10"/>
        <v>0</v>
      </c>
      <c r="N69" s="3070" t="str">
        <f t="shared" ca="1" si="11"/>
        <v>√</v>
      </c>
      <c r="O69" s="641"/>
      <c r="P69" s="641"/>
      <c r="Q69" s="641"/>
      <c r="R69" s="641"/>
    </row>
    <row r="70" spans="1:18" ht="24">
      <c r="A70" s="30"/>
      <c r="B70" s="3064" t="s">
        <v>542</v>
      </c>
      <c r="C70" s="3065" t="s">
        <v>442</v>
      </c>
      <c r="D70" s="3066">
        <v>8599</v>
      </c>
      <c r="E70" s="3073" t="str">
        <f t="shared" si="8"/>
        <v>盈余公积_本期期末余额</v>
      </c>
      <c r="F70" s="3067" t="str">
        <f>Area_RepDuration</f>
        <v>2019年度</v>
      </c>
      <c r="G70" s="3078">
        <f ca="1">INDIRECT(C70&amp;"!CheckA"&amp;D70)</f>
        <v>0</v>
      </c>
      <c r="H70" s="3068" t="s">
        <v>428</v>
      </c>
      <c r="I70" s="3066">
        <v>4101</v>
      </c>
      <c r="J70" s="3073" t="str">
        <f t="shared" si="9"/>
        <v>盈余公积</v>
      </c>
      <c r="K70" s="3067">
        <f>Area_RepDate</f>
        <v>43830</v>
      </c>
      <c r="L70" s="3078">
        <f ca="1">INDIRECT(H70&amp;"!CheckA"&amp;I70)</f>
        <v>0</v>
      </c>
      <c r="M70" s="3069">
        <f t="shared" ca="1" si="10"/>
        <v>0</v>
      </c>
      <c r="N70" s="3070" t="str">
        <f t="shared" ca="1" si="11"/>
        <v>√</v>
      </c>
      <c r="O70" s="641"/>
      <c r="P70" s="641"/>
      <c r="Q70" s="641"/>
      <c r="R70" s="641"/>
    </row>
    <row r="71" spans="1:18" ht="24">
      <c r="A71" s="30"/>
      <c r="B71" s="3064" t="s">
        <v>547</v>
      </c>
      <c r="C71" s="3065" t="s">
        <v>442</v>
      </c>
      <c r="D71" s="3066">
        <v>8599</v>
      </c>
      <c r="E71" s="3072" t="str">
        <f t="shared" si="8"/>
        <v>盈余公积_本期期末余额</v>
      </c>
      <c r="F71" s="3067" t="str">
        <f>Area_RepDuration1</f>
        <v>2018年度</v>
      </c>
      <c r="G71" s="3077">
        <f ca="1">INDIRECT(C71&amp;"!CheckB"&amp;D71)</f>
        <v>0</v>
      </c>
      <c r="H71" s="3068" t="s">
        <v>428</v>
      </c>
      <c r="I71" s="3066">
        <v>4101</v>
      </c>
      <c r="J71" s="3072" t="str">
        <f t="shared" si="9"/>
        <v>盈余公积</v>
      </c>
      <c r="K71" s="3067">
        <f>Area_RepDate1</f>
        <v>43465</v>
      </c>
      <c r="L71" s="3077">
        <f ca="1">INDIRECT(H71&amp;"!CheckB"&amp;I71)</f>
        <v>0</v>
      </c>
      <c r="M71" s="3069">
        <f t="shared" ca="1" si="10"/>
        <v>0</v>
      </c>
      <c r="N71" s="3070" t="str">
        <f t="shared" ca="1" si="11"/>
        <v>√</v>
      </c>
      <c r="O71" s="641"/>
      <c r="P71" s="641"/>
      <c r="Q71" s="641"/>
      <c r="R71" s="641"/>
    </row>
    <row r="72" spans="1:18" ht="24">
      <c r="A72" s="30"/>
      <c r="B72" s="3064" t="s">
        <v>551</v>
      </c>
      <c r="C72" s="3065" t="s">
        <v>442</v>
      </c>
      <c r="D72" s="3066">
        <v>8699</v>
      </c>
      <c r="E72" s="3073" t="str">
        <f t="shared" si="8"/>
        <v>一般风险准备_本期期末余额</v>
      </c>
      <c r="F72" s="3067" t="str">
        <f>Area_RepDuration</f>
        <v>2019年度</v>
      </c>
      <c r="G72" s="3078">
        <f ca="1">INDIRECT(C72&amp;"!CheckA"&amp;D72)</f>
        <v>0</v>
      </c>
      <c r="H72" s="3068" t="s">
        <v>428</v>
      </c>
      <c r="I72" s="3066">
        <v>4102</v>
      </c>
      <c r="J72" s="3073" t="str">
        <f t="shared" si="9"/>
        <v>一般风险准备</v>
      </c>
      <c r="K72" s="3067">
        <f>Area_RepDate</f>
        <v>43830</v>
      </c>
      <c r="L72" s="3078">
        <f ca="1">INDIRECT(H72&amp;"!CheckA"&amp;I72)</f>
        <v>0</v>
      </c>
      <c r="M72" s="3069">
        <f t="shared" ca="1" si="10"/>
        <v>0</v>
      </c>
      <c r="N72" s="3070" t="str">
        <f t="shared" ca="1" si="11"/>
        <v>√</v>
      </c>
      <c r="O72" s="641"/>
      <c r="P72" s="641"/>
      <c r="Q72" s="641"/>
      <c r="R72" s="641"/>
    </row>
    <row r="73" spans="1:18" ht="24">
      <c r="A73" s="30"/>
      <c r="B73" s="3064" t="s">
        <v>555</v>
      </c>
      <c r="C73" s="3065" t="s">
        <v>442</v>
      </c>
      <c r="D73" s="3066">
        <v>8699</v>
      </c>
      <c r="E73" s="3072" t="str">
        <f t="shared" ref="E73:E84" si="16">VLOOKUP(D73,Sheet_Items,2,0)</f>
        <v>一般风险准备_本期期末余额</v>
      </c>
      <c r="F73" s="3067" t="str">
        <f>Area_RepDuration1</f>
        <v>2018年度</v>
      </c>
      <c r="G73" s="3077">
        <f ca="1">INDIRECT(C73&amp;"!CheckB"&amp;D73)</f>
        <v>0</v>
      </c>
      <c r="H73" s="3068" t="s">
        <v>428</v>
      </c>
      <c r="I73" s="3066">
        <v>4102</v>
      </c>
      <c r="J73" s="3072" t="str">
        <f t="shared" ref="J73:J84" si="17">VLOOKUP(I73,Sheet_Items,2,0)</f>
        <v>一般风险准备</v>
      </c>
      <c r="K73" s="3067">
        <f>Area_RepDate1</f>
        <v>43465</v>
      </c>
      <c r="L73" s="3077">
        <f ca="1">INDIRECT(H73&amp;"!CheckB"&amp;I73)</f>
        <v>0</v>
      </c>
      <c r="M73" s="3069">
        <f t="shared" ref="M73:M84" ca="1" si="18">ROUND(G73-L73,2)</f>
        <v>0</v>
      </c>
      <c r="N73" s="3070" t="str">
        <f t="shared" ref="N73:N84" ca="1" si="19">IF(M73=0,"√","×")</f>
        <v>√</v>
      </c>
      <c r="O73" s="641"/>
      <c r="P73" s="641"/>
      <c r="Q73" s="641"/>
      <c r="R73" s="641"/>
    </row>
    <row r="74" spans="1:18" ht="24">
      <c r="A74" s="30"/>
      <c r="B74" s="3064" t="s">
        <v>560</v>
      </c>
      <c r="C74" s="3065" t="s">
        <v>442</v>
      </c>
      <c r="D74" s="3066">
        <v>8799</v>
      </c>
      <c r="E74" s="3073" t="str">
        <f t="shared" si="16"/>
        <v>未分配利润_本期期末余额</v>
      </c>
      <c r="F74" s="3067" t="str">
        <f>Area_RepDuration</f>
        <v>2019年度</v>
      </c>
      <c r="G74" s="3078">
        <f ca="1">INDIRECT(C74&amp;"!CheckA"&amp;D74)</f>
        <v>1747379.72</v>
      </c>
      <c r="H74" s="3068" t="s">
        <v>428</v>
      </c>
      <c r="I74" s="3066">
        <v>4200</v>
      </c>
      <c r="J74" s="3073" t="str">
        <f t="shared" si="17"/>
        <v>未分配利润</v>
      </c>
      <c r="K74" s="3067">
        <f>Area_RepDate</f>
        <v>43830</v>
      </c>
      <c r="L74" s="3078">
        <f ca="1">INDIRECT(H74&amp;"!CheckA"&amp;I74)</f>
        <v>1747379.72</v>
      </c>
      <c r="M74" s="3069">
        <f t="shared" ca="1" si="18"/>
        <v>0</v>
      </c>
      <c r="N74" s="3070" t="str">
        <f t="shared" ca="1" si="19"/>
        <v>√</v>
      </c>
      <c r="O74" s="641"/>
      <c r="P74" s="641"/>
      <c r="Q74" s="641"/>
      <c r="R74" s="641"/>
    </row>
    <row r="75" spans="1:18" ht="24">
      <c r="A75" s="30"/>
      <c r="B75" s="3064" t="s">
        <v>563</v>
      </c>
      <c r="C75" s="3065" t="s">
        <v>442</v>
      </c>
      <c r="D75" s="3066">
        <v>8799</v>
      </c>
      <c r="E75" s="3072" t="str">
        <f t="shared" si="16"/>
        <v>未分配利润_本期期末余额</v>
      </c>
      <c r="F75" s="3067" t="str">
        <f>Area_RepDuration1</f>
        <v>2018年度</v>
      </c>
      <c r="G75" s="3077">
        <f ca="1">INDIRECT(C75&amp;"!CheckB"&amp;D75)</f>
        <v>-2433969.27</v>
      </c>
      <c r="H75" s="3068" t="s">
        <v>428</v>
      </c>
      <c r="I75" s="3066">
        <v>4200</v>
      </c>
      <c r="J75" s="3072" t="str">
        <f t="shared" si="17"/>
        <v>未分配利润</v>
      </c>
      <c r="K75" s="3067">
        <f>Area_RepDate1</f>
        <v>43465</v>
      </c>
      <c r="L75" s="3077">
        <f ca="1">INDIRECT(H75&amp;"!CheckB"&amp;I75)</f>
        <v>-2433969.27</v>
      </c>
      <c r="M75" s="3069">
        <f t="shared" ca="1" si="18"/>
        <v>0</v>
      </c>
      <c r="N75" s="3070" t="str">
        <f t="shared" ca="1" si="19"/>
        <v>√</v>
      </c>
      <c r="O75" s="641"/>
      <c r="P75" s="641"/>
      <c r="Q75" s="641"/>
      <c r="R75" s="641"/>
    </row>
    <row r="76" spans="1:18" ht="24">
      <c r="A76" s="30"/>
      <c r="B76" s="31" t="s">
        <v>565</v>
      </c>
      <c r="C76" s="35" t="s">
        <v>442</v>
      </c>
      <c r="D76" s="1269">
        <v>8099</v>
      </c>
      <c r="E76" s="3071" t="str">
        <f t="shared" si="16"/>
        <v>所有者权益_本期期末余额</v>
      </c>
      <c r="F76" s="1270" t="str">
        <f>Area_RepDuration</f>
        <v>2019年度</v>
      </c>
      <c r="G76" s="3076">
        <f ca="1">INDIRECT(C76&amp;"!CheckA"&amp;D76)</f>
        <v>1747379.72</v>
      </c>
      <c r="H76" s="1271" t="s">
        <v>428</v>
      </c>
      <c r="I76" s="1269">
        <v>4999</v>
      </c>
      <c r="J76" s="3071" t="str">
        <f t="shared" si="17"/>
        <v>所有者权益</v>
      </c>
      <c r="K76" s="1270">
        <f>Area_RepDate</f>
        <v>43830</v>
      </c>
      <c r="L76" s="3076">
        <f ca="1">INDIRECT(H76&amp;"!CheckA"&amp;I76)</f>
        <v>1747379.72</v>
      </c>
      <c r="M76" s="70">
        <f t="shared" ca="1" si="18"/>
        <v>0</v>
      </c>
      <c r="N76" s="1293" t="str">
        <f t="shared" ca="1" si="19"/>
        <v>√</v>
      </c>
      <c r="O76" s="641"/>
      <c r="P76" s="641"/>
      <c r="Q76" s="641"/>
      <c r="R76" s="641"/>
    </row>
    <row r="77" spans="1:18" ht="24">
      <c r="A77" s="30"/>
      <c r="B77" s="31" t="s">
        <v>571</v>
      </c>
      <c r="C77" s="35" t="s">
        <v>442</v>
      </c>
      <c r="D77" s="1269">
        <v>8099</v>
      </c>
      <c r="E77" s="3074" t="str">
        <f t="shared" si="16"/>
        <v>所有者权益_本期期末余额</v>
      </c>
      <c r="F77" s="1270" t="str">
        <f>Area_RepDuration1</f>
        <v>2018年度</v>
      </c>
      <c r="G77" s="3079">
        <f ca="1">INDIRECT(C77&amp;"!CheckB"&amp;D77)</f>
        <v>-1433969.27</v>
      </c>
      <c r="H77" s="1271" t="s">
        <v>428</v>
      </c>
      <c r="I77" s="1269">
        <v>4999</v>
      </c>
      <c r="J77" s="3074" t="str">
        <f t="shared" si="17"/>
        <v>所有者权益</v>
      </c>
      <c r="K77" s="1270">
        <f>Area_RepDate1</f>
        <v>43465</v>
      </c>
      <c r="L77" s="3079">
        <f ca="1">INDIRECT(H77&amp;"!CheckB"&amp;I77)</f>
        <v>-1433969.27</v>
      </c>
      <c r="M77" s="70">
        <f t="shared" ca="1" si="18"/>
        <v>0</v>
      </c>
      <c r="N77" s="1293" t="str">
        <f t="shared" ca="1" si="19"/>
        <v>√</v>
      </c>
      <c r="O77" s="641"/>
      <c r="P77" s="641"/>
      <c r="Q77" s="641"/>
      <c r="R77" s="641"/>
    </row>
    <row r="78" spans="1:18" ht="24">
      <c r="A78" s="30"/>
      <c r="B78" s="31" t="s">
        <v>577</v>
      </c>
      <c r="C78" s="35" t="s">
        <v>578</v>
      </c>
      <c r="D78" s="1269">
        <v>7349</v>
      </c>
      <c r="E78" s="3071" t="str">
        <f t="shared" si="16"/>
        <v>期初现金及现金等价物余额</v>
      </c>
      <c r="F78" s="1270" t="str">
        <f>Area_RepDuration</f>
        <v>2019年度</v>
      </c>
      <c r="G78" s="3076">
        <f ca="1">INDIRECT(C78&amp;"!CheckA"&amp;D78)</f>
        <v>799162.6</v>
      </c>
      <c r="H78" s="1271" t="s">
        <v>578</v>
      </c>
      <c r="I78" s="1269">
        <v>7399</v>
      </c>
      <c r="J78" s="3074" t="str">
        <f t="shared" si="17"/>
        <v>期末现金及现金等价物余额</v>
      </c>
      <c r="K78" s="1270" t="str">
        <f>Area_RepDuration1</f>
        <v>2018年度</v>
      </c>
      <c r="L78" s="3079">
        <f ca="1">INDIRECT(H78&amp;"!CheckB"&amp;I78)</f>
        <v>799162.6</v>
      </c>
      <c r="M78" s="70">
        <f t="shared" ca="1" si="18"/>
        <v>0</v>
      </c>
      <c r="N78" s="1293" t="str">
        <f t="shared" ca="1" si="19"/>
        <v>√</v>
      </c>
      <c r="O78" s="641"/>
      <c r="P78" s="641"/>
      <c r="Q78" s="641"/>
      <c r="R78" s="641"/>
    </row>
    <row r="79" spans="1:18" ht="18">
      <c r="A79" s="30"/>
      <c r="B79" s="31" t="s">
        <v>582</v>
      </c>
      <c r="C79" s="35" t="s">
        <v>578</v>
      </c>
      <c r="D79" s="1269">
        <v>7502</v>
      </c>
      <c r="E79" s="3071" t="str">
        <f t="shared" si="16"/>
        <v>净利润金额</v>
      </c>
      <c r="F79" s="1270" t="str">
        <f>Area_RepDuration</f>
        <v>2019年度</v>
      </c>
      <c r="G79" s="3076">
        <f ca="1">INDIRECT(C79&amp;"!CheckA"&amp;D79)</f>
        <v>1747379.72</v>
      </c>
      <c r="H79" s="1271" t="s">
        <v>441</v>
      </c>
      <c r="I79" s="1269">
        <v>6799</v>
      </c>
      <c r="J79" s="3071" t="str">
        <f t="shared" si="17"/>
        <v>净利润</v>
      </c>
      <c r="K79" s="1270" t="str">
        <f>Area_RepDuration</f>
        <v>2019年度</v>
      </c>
      <c r="L79" s="3076">
        <f ca="1">INDIRECT(H79&amp;"!CheckA"&amp;I79)</f>
        <v>1747379.72</v>
      </c>
      <c r="M79" s="70">
        <f t="shared" ca="1" si="18"/>
        <v>0</v>
      </c>
      <c r="N79" s="1293" t="str">
        <f t="shared" ca="1" si="19"/>
        <v>√</v>
      </c>
      <c r="O79" s="641"/>
      <c r="P79" s="641"/>
      <c r="Q79" s="641"/>
      <c r="R79" s="641"/>
    </row>
    <row r="80" spans="1:18" ht="18">
      <c r="A80" s="30"/>
      <c r="B80" s="31" t="s">
        <v>587</v>
      </c>
      <c r="C80" s="35" t="s">
        <v>578</v>
      </c>
      <c r="D80" s="1269">
        <v>7502</v>
      </c>
      <c r="E80" s="3074" t="str">
        <f t="shared" si="16"/>
        <v>净利润金额</v>
      </c>
      <c r="F80" s="1270" t="str">
        <f>Area_RepDuration1</f>
        <v>2018年度</v>
      </c>
      <c r="G80" s="3079">
        <f ca="1">INDIRECT(C80&amp;"!CheckB"&amp;D80)</f>
        <v>5463681.9299999997</v>
      </c>
      <c r="H80" s="1271" t="s">
        <v>441</v>
      </c>
      <c r="I80" s="1269">
        <v>6799</v>
      </c>
      <c r="J80" s="3074" t="str">
        <f t="shared" si="17"/>
        <v>净利润</v>
      </c>
      <c r="K80" s="1270" t="str">
        <f>Area_RepDuration1</f>
        <v>2018年度</v>
      </c>
      <c r="L80" s="3079">
        <f ca="1">INDIRECT(H80&amp;"!CheckB"&amp;I80)</f>
        <v>5463681.9299999997</v>
      </c>
      <c r="M80" s="70">
        <f t="shared" ca="1" si="18"/>
        <v>0</v>
      </c>
      <c r="N80" s="1293" t="str">
        <f t="shared" ca="1" si="19"/>
        <v>√</v>
      </c>
      <c r="O80" s="641"/>
      <c r="P80" s="641"/>
      <c r="Q80" s="641"/>
      <c r="R80" s="641"/>
    </row>
    <row r="81" spans="1:18" ht="24">
      <c r="A81" s="30"/>
      <c r="B81" s="31" t="s">
        <v>593</v>
      </c>
      <c r="C81" s="35" t="s">
        <v>578</v>
      </c>
      <c r="D81" s="1269">
        <v>7525</v>
      </c>
      <c r="E81" s="3071" t="str">
        <f t="shared" si="16"/>
        <v>经营活动产生的现金流量净额</v>
      </c>
      <c r="F81" s="1270" t="str">
        <f>Area_RepDuration</f>
        <v>2019年度</v>
      </c>
      <c r="G81" s="3076">
        <f ca="1">INDIRECT(C81&amp;"!CheckA"&amp;D81)</f>
        <v>318801.53999999998</v>
      </c>
      <c r="H81" s="1271" t="s">
        <v>578</v>
      </c>
      <c r="I81" s="1269">
        <v>7099</v>
      </c>
      <c r="J81" s="3071" t="str">
        <f t="shared" si="17"/>
        <v>经营活动产生的现金流量净额</v>
      </c>
      <c r="K81" s="1270" t="str">
        <f>Area_RepDuration</f>
        <v>2019年度</v>
      </c>
      <c r="L81" s="3076">
        <f ca="1">INDIRECT(H81&amp;"!CheckA"&amp;I81)</f>
        <v>318801.53999999998</v>
      </c>
      <c r="M81" s="70">
        <f t="shared" ca="1" si="18"/>
        <v>0</v>
      </c>
      <c r="N81" s="1293" t="str">
        <f t="shared" ca="1" si="19"/>
        <v>√</v>
      </c>
      <c r="O81" s="641"/>
      <c r="P81" s="641"/>
      <c r="Q81" s="641"/>
      <c r="R81" s="641"/>
    </row>
    <row r="82" spans="1:18" ht="24">
      <c r="A82" s="30"/>
      <c r="B82" s="31" t="s">
        <v>598</v>
      </c>
      <c r="C82" s="35" t="s">
        <v>578</v>
      </c>
      <c r="D82" s="1269">
        <v>7525</v>
      </c>
      <c r="E82" s="3074" t="str">
        <f t="shared" si="16"/>
        <v>经营活动产生的现金流量净额</v>
      </c>
      <c r="F82" s="1270" t="str">
        <f>Area_RepDuration1</f>
        <v>2018年度</v>
      </c>
      <c r="G82" s="3079">
        <f ca="1">INDIRECT(C82&amp;"!CheckB"&amp;D82)</f>
        <v>-556243.94999999995</v>
      </c>
      <c r="H82" s="1271" t="s">
        <v>578</v>
      </c>
      <c r="I82" s="1269">
        <v>7099</v>
      </c>
      <c r="J82" s="3074" t="str">
        <f t="shared" si="17"/>
        <v>经营活动产生的现金流量净额</v>
      </c>
      <c r="K82" s="1270" t="str">
        <f>Area_RepDuration1</f>
        <v>2018年度</v>
      </c>
      <c r="L82" s="3079">
        <f ca="1">INDIRECT(H82&amp;"!CheckB"&amp;I82)</f>
        <v>-556243.94999999995</v>
      </c>
      <c r="M82" s="70">
        <f t="shared" ca="1" si="18"/>
        <v>0</v>
      </c>
      <c r="N82" s="1293" t="str">
        <f t="shared" ca="1" si="19"/>
        <v>√</v>
      </c>
      <c r="O82" s="641"/>
      <c r="P82" s="641"/>
      <c r="Q82" s="641"/>
      <c r="R82" s="641"/>
    </row>
    <row r="83" spans="1:18" ht="24">
      <c r="A83" s="30"/>
      <c r="B83" s="31" t="s">
        <v>603</v>
      </c>
      <c r="C83" s="35" t="s">
        <v>578</v>
      </c>
      <c r="D83" s="1269">
        <v>7539</v>
      </c>
      <c r="E83" s="3071" t="str">
        <f t="shared" si="16"/>
        <v>现金及现金等价物净增加额</v>
      </c>
      <c r="F83" s="1270" t="str">
        <f>Area_RepDuration</f>
        <v>2019年度</v>
      </c>
      <c r="G83" s="3076">
        <f ca="1">INDIRECT(C83&amp;"!CheckA"&amp;D83)</f>
        <v>-419198.46</v>
      </c>
      <c r="H83" s="1271" t="s">
        <v>578</v>
      </c>
      <c r="I83" s="1269">
        <v>7348</v>
      </c>
      <c r="J83" s="3071" t="str">
        <f t="shared" si="17"/>
        <v>现金及现金等价物净增加额</v>
      </c>
      <c r="K83" s="1270" t="str">
        <f>Area_RepDuration</f>
        <v>2019年度</v>
      </c>
      <c r="L83" s="3076">
        <f ca="1">INDIRECT(H83&amp;"!CheckA"&amp;I83)</f>
        <v>-419198.46</v>
      </c>
      <c r="M83" s="70">
        <f t="shared" ca="1" si="18"/>
        <v>0</v>
      </c>
      <c r="N83" s="1293" t="str">
        <f t="shared" ca="1" si="19"/>
        <v>√</v>
      </c>
      <c r="O83" s="641"/>
      <c r="P83" s="641"/>
      <c r="Q83" s="641"/>
      <c r="R83" s="641"/>
    </row>
    <row r="84" spans="1:18" ht="24">
      <c r="A84" s="30"/>
      <c r="B84" s="36" t="s">
        <v>608</v>
      </c>
      <c r="C84" s="37" t="s">
        <v>578</v>
      </c>
      <c r="D84" s="1272">
        <v>7539</v>
      </c>
      <c r="E84" s="3075" t="str">
        <f t="shared" si="16"/>
        <v>现金及现金等价物净增加额</v>
      </c>
      <c r="F84" s="1273" t="str">
        <f>Area_RepDuration1</f>
        <v>2018年度</v>
      </c>
      <c r="G84" s="3080">
        <f ca="1">INDIRECT(C84&amp;"!CheckB"&amp;D84)</f>
        <v>638336.48</v>
      </c>
      <c r="H84" s="1274" t="s">
        <v>578</v>
      </c>
      <c r="I84" s="1272">
        <v>7348</v>
      </c>
      <c r="J84" s="3075" t="str">
        <f t="shared" si="17"/>
        <v>现金及现金等价物净增加额</v>
      </c>
      <c r="K84" s="1273" t="str">
        <f>Area_RepDuration1</f>
        <v>2018年度</v>
      </c>
      <c r="L84" s="3080">
        <f ca="1">INDIRECT(H84&amp;"!CheckB"&amp;I84)</f>
        <v>638336.48</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bKxPYWXRy24e9nEf1cb7V5SwPHJdjHgeaJAgnLz5UFX3pmXV3v7BCcRo9h7JmwHg1OMuO6/HbVfEoUvf/5u4ew==" saltValue="4tU3E71JgQAW279etNMUVA==" spinCount="100000" sheet="1" scenarios="1" formatCells="0" autoFilter="0"/>
  <phoneticPr fontId="163" type="noConversion"/>
  <conditionalFormatting sqref="M9:M84">
    <cfRule type="expression" dxfId="409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7" workbookViewId="0">
      <selection activeCell="F10" sqref="F10"/>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编制单位：北京鼎竑信息技术有限公司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c r="G10" s="1199">
        <f t="shared" si="3"/>
        <v>799162.6</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c r="G17" s="1199">
        <f t="shared" si="3"/>
        <v>5191249.5199999996</v>
      </c>
      <c r="H17" s="2817">
        <v>2202</v>
      </c>
      <c r="I17" s="1206" t="str">
        <f t="shared" si="4"/>
        <v>应付账款</v>
      </c>
      <c r="J17" s="1197"/>
      <c r="K17" s="1198"/>
      <c r="L17" s="1207">
        <f t="shared" si="5"/>
        <v>0</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214017.93</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0</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70022.3</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c r="L24" s="1207">
        <f t="shared" si="5"/>
        <v>1303107.67</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c r="L25" s="1207">
        <f t="shared" si="5"/>
        <v>236130.57</v>
      </c>
      <c r="M25" s="641"/>
      <c r="N25" s="641"/>
      <c r="O25" s="641"/>
      <c r="P25" s="641"/>
    </row>
    <row r="26" spans="1:16" ht="18">
      <c r="A26" s="2752">
        <f t="shared" si="0"/>
        <v>0</v>
      </c>
      <c r="B26" s="2752">
        <f t="shared" si="1"/>
        <v>0</v>
      </c>
      <c r="C26" s="2809">
        <v>1221</v>
      </c>
      <c r="D26" s="1140" t="str">
        <f t="shared" si="2"/>
        <v>其他应收款</v>
      </c>
      <c r="E26" s="1197"/>
      <c r="F26" s="1198"/>
      <c r="G26" s="1199">
        <f t="shared" si="6"/>
        <v>70022.3</v>
      </c>
      <c r="H26" s="2817">
        <v>2246</v>
      </c>
      <c r="I26" s="1206" t="str">
        <f>VLOOKUP($H26,Sheet_Items,2,0)</f>
        <v>其他应付款（报表项目）</v>
      </c>
      <c r="J26" s="1200"/>
      <c r="K26" s="1201">
        <f>SUM(K27:K29)</f>
        <v>0</v>
      </c>
      <c r="L26" s="1208">
        <f>SUM(L27,L28,L29)</f>
        <v>7949525.4100000001</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c r="L29" s="1207">
        <f t="shared" si="7"/>
        <v>7949525.4100000001</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0</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0</v>
      </c>
      <c r="G35" s="1204">
        <f>SUM(G10:G34)-SUM(G23)</f>
        <v>6060434.4199999999</v>
      </c>
      <c r="H35" s="2818">
        <v>2498</v>
      </c>
      <c r="I35" s="1205" t="str">
        <f t="shared" si="4"/>
        <v>流动负债合计</v>
      </c>
      <c r="J35" s="1200"/>
      <c r="K35" s="1203">
        <f>SUM(K10:K34)-SUM(K26)</f>
        <v>0</v>
      </c>
      <c r="L35" s="1209">
        <f>SUM(L10:L34)-SUM(L26)</f>
        <v>9702781.5800000001</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2260.42</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c r="G48" s="1199">
        <f>IF($C48="","",IF(ISERROR(VLOOKUP($C48,Sheet_Balance1,2,0)),0,VLOOKUP($C48,Sheet_Balance1,2,0)))</f>
        <v>2260.42</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0</v>
      </c>
      <c r="L52" s="1209">
        <f>SUM(L35,L51)</f>
        <v>9702781.5800000001</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c r="L54" s="1207">
        <f t="shared" si="13"/>
        <v>1000000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2185457.56</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c r="G60" s="1199">
        <f t="shared" si="11"/>
        <v>20659.91</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c r="L62" s="1207">
        <f t="shared" si="13"/>
        <v>0</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f>preIS!E45</f>
        <v>1747379.72</v>
      </c>
      <c r="L64" s="1207">
        <f t="shared" si="13"/>
        <v>-2433969.27</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1747379.72</v>
      </c>
      <c r="L65" s="1232">
        <f>SUM(L54:L55,L58,-L59,L60:L64)</f>
        <v>-1433969.27</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0</v>
      </c>
      <c r="G67" s="1204">
        <f>SUM(G37:G66)-SUM(G47,G50)</f>
        <v>2208377.89</v>
      </c>
      <c r="H67" s="2820">
        <v>4999</v>
      </c>
      <c r="I67" s="1233" t="str">
        <f t="shared" si="12"/>
        <v>所有者权益（或股东权益）合计</v>
      </c>
      <c r="J67" s="1200"/>
      <c r="K67" s="1203">
        <f>SUM(K65,K66)</f>
        <v>1747379.72</v>
      </c>
      <c r="L67" s="1209">
        <f>SUM(L65,L66)</f>
        <v>-1433969.27</v>
      </c>
      <c r="M67" s="641"/>
      <c r="N67" s="641"/>
      <c r="O67" s="641"/>
      <c r="P67" s="641"/>
    </row>
    <row r="68" spans="1:16" ht="24">
      <c r="A68" s="2752" t="str">
        <f t="shared" si="0"/>
        <v>＝</v>
      </c>
      <c r="B68" s="2752" t="str">
        <f t="shared" si="1"/>
        <v>＝</v>
      </c>
      <c r="C68" s="2809">
        <v>1999</v>
      </c>
      <c r="D68" s="1210" t="str">
        <f t="shared" si="14"/>
        <v>资产总计</v>
      </c>
      <c r="E68" s="1211"/>
      <c r="F68" s="1212">
        <f>SUM(F35,F67)</f>
        <v>0</v>
      </c>
      <c r="G68" s="1213">
        <f>SUM(G35,G67)</f>
        <v>8268812.3099999996</v>
      </c>
      <c r="H68" s="2821">
        <v>5000</v>
      </c>
      <c r="I68" s="1234" t="str">
        <f t="shared" si="12"/>
        <v>负债和所有者权益（或股东权益）总计</v>
      </c>
      <c r="J68" s="1211"/>
      <c r="K68" s="1212">
        <f>SUM(K52,K67)</f>
        <v>1747379.72</v>
      </c>
      <c r="L68" s="1235">
        <f>SUM(L52,L67)</f>
        <v>8268812.3099999996</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0</v>
      </c>
      <c r="H94" s="2825"/>
      <c r="I94" s="1236" t="str">
        <f>I68</f>
        <v>负债和所有者权益（或股东权益）总计</v>
      </c>
      <c r="J94" s="1222"/>
      <c r="K94" s="1001">
        <f>K68</f>
        <v>1747379.72</v>
      </c>
      <c r="L94" s="1054">
        <f>ROUND(G94-K94,2)</f>
        <v>-1747379.72</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8268812.3099999996</v>
      </c>
      <c r="H96" s="2825"/>
      <c r="I96" s="1241" t="str">
        <f>I68</f>
        <v>负债和所有者权益（或股东权益）总计</v>
      </c>
      <c r="J96" s="1222"/>
      <c r="K96" s="1001">
        <f>L68</f>
        <v>8268812.3099999996</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-1747379.72</v>
      </c>
      <c r="M97" s="956" t="str">
        <f>IF(L97=0,"Balanced","Diff "&amp;TEXT(ROUND(L97,2),"#,###.00"))</f>
        <v>Diff -1,747,379.72</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H2FoAJIxhxy5Z1yc1++BMo0oG7Td2Tk607e/cwQNmkfPyC101W7aujk9VZzsQzZymW+YsBY0FNZCZ/VnHEJYhw==" saltValue="E7zN+81ya0bGdZvCLy2Eow==" spinCount="100000" sheet="1" scenarios="1" formatCells="0" autoFilter="0"/>
  <phoneticPr fontId="163" type="noConversion"/>
  <conditionalFormatting sqref="F68:G68">
    <cfRule type="expression" dxfId="4093" priority="1" stopIfTrue="1">
      <formula>ROUND(F68-K68,2)&lt;&gt;0</formula>
    </cfRule>
  </conditionalFormatting>
  <conditionalFormatting sqref="K68:L68">
    <cfRule type="expression" dxfId="4092" priority="2" stopIfTrue="1">
      <formula>ROUND(K68-F68,2)&lt;&gt;0</formula>
    </cfRule>
  </conditionalFormatting>
  <conditionalFormatting sqref="L94 L92 L96:L97">
    <cfRule type="cellIs" dxfId="409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1" workbookViewId="0">
      <selection activeCell="E44" sqref="E44"/>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编制单位：北京鼎竑信息技术有限公司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2189820.39</v>
      </c>
      <c r="F9" s="1135">
        <f>SUM(F10:F13)</f>
        <v>10519044.27</v>
      </c>
      <c r="G9" s="641"/>
      <c r="H9" s="641"/>
      <c r="I9" s="641"/>
      <c r="J9" s="641"/>
    </row>
    <row r="10" spans="1:10" ht="18">
      <c r="A10" s="2752">
        <f t="shared" si="0"/>
        <v>0</v>
      </c>
      <c r="B10" s="2809">
        <v>6001</v>
      </c>
      <c r="C10" s="1654" t="str">
        <f>VLOOKUP($B10,Sheet_Items,7,0)</f>
        <v>其中：营业收入</v>
      </c>
      <c r="D10" s="1136"/>
      <c r="E10" s="1079">
        <v>2189820.39</v>
      </c>
      <c r="F10" s="1080">
        <f>IF($B10="","",IF(ISERROR(VLOOKUP($B10,Sheet_Balance1,2,0)),0,VLOOKUP($B10,Sheet_Balance1,2,0)))</f>
        <v>10519044.27</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1578215.32</v>
      </c>
      <c r="F14" s="1135">
        <f>SUM(F15:F27)</f>
        <v>4980985.95</v>
      </c>
      <c r="G14" s="641"/>
      <c r="H14" s="641"/>
      <c r="I14" s="641"/>
      <c r="J14" s="641"/>
    </row>
    <row r="15" spans="1:10" ht="18">
      <c r="A15" s="2752">
        <f t="shared" si="0"/>
        <v>0</v>
      </c>
      <c r="B15" s="2809">
        <v>6401</v>
      </c>
      <c r="C15" s="1138" t="str">
        <f t="shared" si="1"/>
        <v>减：营业成本</v>
      </c>
      <c r="D15" s="1081"/>
      <c r="E15" s="1079">
        <v>1009661.4</v>
      </c>
      <c r="F15" s="1080">
        <f t="shared" ref="F15:F37" si="2">IF($B15="","",IF(ISERROR(VLOOKUP($B15,Sheet_Balance1,2,0)),0,VLOOKUP($B15,Sheet_Balance1,2,0)))</f>
        <v>4316544.09</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147093.37</v>
      </c>
      <c r="F23" s="1080">
        <f t="shared" si="2"/>
        <v>42462.27</v>
      </c>
      <c r="G23" s="641"/>
      <c r="H23" s="641"/>
      <c r="I23" s="641"/>
      <c r="J23" s="641"/>
    </row>
    <row r="24" spans="1:10" ht="18">
      <c r="A24" s="2752">
        <f t="shared" si="0"/>
        <v>0</v>
      </c>
      <c r="B24" s="2809">
        <v>6601</v>
      </c>
      <c r="C24" s="975" t="str">
        <f t="shared" si="1"/>
        <v>销售费用</v>
      </c>
      <c r="D24" s="1081"/>
      <c r="E24" s="1079"/>
      <c r="F24" s="1080">
        <f t="shared" si="2"/>
        <v>494261.11</v>
      </c>
      <c r="G24" s="641"/>
      <c r="H24" s="641"/>
      <c r="I24" s="641"/>
      <c r="J24" s="641"/>
    </row>
    <row r="25" spans="1:10" ht="18">
      <c r="A25" s="2752">
        <f t="shared" si="0"/>
        <v>0</v>
      </c>
      <c r="B25" s="2809">
        <v>6602</v>
      </c>
      <c r="C25" s="975" t="str">
        <f t="shared" si="1"/>
        <v>管理费用</v>
      </c>
      <c r="D25" s="1081"/>
      <c r="E25" s="1079">
        <v>419878.21</v>
      </c>
      <c r="F25" s="1080">
        <f t="shared" si="2"/>
        <v>6359.38</v>
      </c>
      <c r="G25" s="641"/>
      <c r="H25" s="641"/>
      <c r="I25" s="641"/>
      <c r="J25" s="641"/>
    </row>
    <row r="26" spans="1:10" ht="18">
      <c r="A26" s="2752">
        <f>VLOOKUP($B26,Sheet_Items,4,0)</f>
        <v>0</v>
      </c>
      <c r="B26" s="2809">
        <v>6606</v>
      </c>
      <c r="C26" s="975" t="str">
        <f>VLOOKUP($B26,Sheet_Items,6,0)</f>
        <v>研发费用</v>
      </c>
      <c r="D26" s="1081"/>
      <c r="E26" s="1079"/>
      <c r="F26" s="1080">
        <f t="shared" si="2"/>
        <v>121122.15</v>
      </c>
      <c r="G26" s="641"/>
      <c r="H26" s="641"/>
      <c r="I26" s="641"/>
      <c r="J26" s="641"/>
    </row>
    <row r="27" spans="1:10" ht="18">
      <c r="A27" s="2752">
        <f t="shared" si="0"/>
        <v>0</v>
      </c>
      <c r="B27" s="2809">
        <v>6603</v>
      </c>
      <c r="C27" s="975" t="str">
        <f t="shared" si="1"/>
        <v>财务费用</v>
      </c>
      <c r="D27" s="1081"/>
      <c r="E27" s="1079">
        <v>1582.34</v>
      </c>
      <c r="F27" s="1080">
        <f t="shared" si="2"/>
        <v>236.95</v>
      </c>
      <c r="G27" s="641"/>
      <c r="H27" s="641"/>
      <c r="I27" s="641"/>
      <c r="J27" s="641"/>
    </row>
    <row r="28" spans="1:10" ht="18">
      <c r="A28" s="2752">
        <f>VLOOKUP($B28,Sheet_Items,4,0)</f>
        <v>0</v>
      </c>
      <c r="B28" s="2809" t="s">
        <v>803</v>
      </c>
      <c r="C28" s="975" t="str">
        <f>VLOOKUP($B28,Sheet_Items,6,0)</f>
        <v>其中：利息费用</v>
      </c>
      <c r="D28" s="1081"/>
      <c r="E28" s="1079">
        <v>0</v>
      </c>
      <c r="F28" s="1080">
        <f t="shared" si="2"/>
        <v>975.88</v>
      </c>
      <c r="G28" s="641"/>
      <c r="H28" s="641"/>
      <c r="I28" s="641"/>
      <c r="J28" s="641"/>
    </row>
    <row r="29" spans="1:10" ht="18">
      <c r="A29" s="2752">
        <f>VLOOKUP($B29,Sheet_Items,4,0)</f>
        <v>0</v>
      </c>
      <c r="B29" s="2809" t="s">
        <v>810</v>
      </c>
      <c r="C29" s="1140" t="str">
        <f>VLOOKUP($B29,Sheet_Items,6,0)</f>
        <v>利息收入</v>
      </c>
      <c r="D29" s="1081"/>
      <c r="E29" s="1079">
        <v>-519.74</v>
      </c>
      <c r="F29" s="1080">
        <f t="shared" si="2"/>
        <v>-644.88</v>
      </c>
      <c r="G29" s="641"/>
      <c r="H29" s="641"/>
      <c r="I29" s="641"/>
      <c r="J29" s="641"/>
    </row>
    <row r="30" spans="1:10" ht="18">
      <c r="A30" s="2752">
        <f>VLOOKUP($B30,Sheet_Items,4,0)</f>
        <v>0</v>
      </c>
      <c r="B30" s="2809">
        <v>6181</v>
      </c>
      <c r="C30" s="1139" t="str">
        <f>VLOOKUP($B30,Sheet_Items,7,0)</f>
        <v>加：其他收益</v>
      </c>
      <c r="D30" s="1081"/>
      <c r="E30" s="1079">
        <v>41615.08</v>
      </c>
      <c r="F30" s="1080">
        <f t="shared" si="2"/>
        <v>0</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v>4831.16</v>
      </c>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c r="F38" s="1080">
        <f>(IF($B38="","",IF(ISERROR(VLOOKUP($B38,Sheet_Balance1,2,0)),0,VLOOKUP($B38,Sheet_Balance1,2,0))))*-1</f>
        <v>-35987.15</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658051.31000000006</v>
      </c>
      <c r="F40" s="1080">
        <f>SUM(F10:F13)-SUM(F15:F27)+SUM(F30:F39)-SUM(F32,F33)</f>
        <v>5502071.1699999999</v>
      </c>
      <c r="G40" s="641"/>
      <c r="H40" s="641"/>
      <c r="I40" s="641"/>
      <c r="J40" s="641"/>
    </row>
    <row r="41" spans="1:10" ht="18">
      <c r="A41" s="2752">
        <f t="shared" si="0"/>
        <v>0</v>
      </c>
      <c r="B41" s="2809">
        <v>6710</v>
      </c>
      <c r="C41" s="975" t="str">
        <f t="shared" si="1"/>
        <v>加：营业外收入</v>
      </c>
      <c r="D41" s="1081"/>
      <c r="E41" s="1079">
        <v>0</v>
      </c>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658051.31000000006</v>
      </c>
      <c r="F43" s="1083">
        <f>SUM(F40,F41,-F42)</f>
        <v>5502071.1699999999</v>
      </c>
      <c r="G43" s="641"/>
      <c r="H43" s="641"/>
      <c r="I43" s="641"/>
      <c r="J43" s="641"/>
    </row>
    <row r="44" spans="1:10" ht="18">
      <c r="A44" s="2752">
        <f t="shared" si="0"/>
        <v>0</v>
      </c>
      <c r="B44" s="2809">
        <v>6791</v>
      </c>
      <c r="C44" s="975" t="str">
        <f t="shared" si="1"/>
        <v>减：所得税费用</v>
      </c>
      <c r="D44" s="1081"/>
      <c r="E44" s="1079">
        <f>-1089328.41</f>
        <v>-1089328.4099999999</v>
      </c>
      <c r="F44" s="1080">
        <f>IF($B44="","",IF(ISERROR(VLOOKUP($B44,Sheet_Balance1,2,0)),0,VLOOKUP($B44,Sheet_Balance1,2,0)))</f>
        <v>38389.24</v>
      </c>
      <c r="G44" s="641"/>
      <c r="H44" s="641"/>
      <c r="I44" s="641"/>
      <c r="J44" s="641"/>
    </row>
    <row r="45" spans="1:10" ht="18">
      <c r="A45" s="2752" t="str">
        <f t="shared" si="0"/>
        <v>＝</v>
      </c>
      <c r="B45" s="2809">
        <v>6799</v>
      </c>
      <c r="C45" s="1144" t="str">
        <f>VLOOKUP($B45,Sheet_Items,7,0)</f>
        <v>五、净利润（净亏损以“-”号填列）</v>
      </c>
      <c r="D45" s="1081"/>
      <c r="E45" s="1082">
        <f>SUM(E43,-E44)</f>
        <v>1747379.72</v>
      </c>
      <c r="F45" s="1083">
        <f>SUM(F43,-F44)</f>
        <v>5463681.9299999997</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1747379.72</v>
      </c>
      <c r="F47" s="1080">
        <f>F45</f>
        <v>5463681.9299999997</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1747379.72</v>
      </c>
      <c r="F50" s="1080">
        <f>SUM(F45)</f>
        <v>5463681.9299999997</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1747379.72</v>
      </c>
      <c r="F74" s="1083">
        <f>SUM(F45,F52)</f>
        <v>5463681.9299999997</v>
      </c>
      <c r="G74" s="641"/>
      <c r="H74" s="641"/>
      <c r="I74" s="641"/>
      <c r="J74" s="641"/>
    </row>
    <row r="75" spans="1:10" ht="18">
      <c r="A75" s="2752" t="str">
        <f t="shared" si="0"/>
        <v>※</v>
      </c>
      <c r="B75" s="2809">
        <v>6841</v>
      </c>
      <c r="C75" s="1151" t="str">
        <f t="shared" si="5"/>
        <v>（一）归属于母公司所有者的综合收益总额</v>
      </c>
      <c r="D75" s="1152"/>
      <c r="E75" s="1153">
        <f>SUM(E50,E53)</f>
        <v>1747379.72</v>
      </c>
      <c r="F75" s="1154">
        <f>SUM(F50,F53)</f>
        <v>5463681.9299999997</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1747379.72</v>
      </c>
      <c r="F88" s="1171">
        <f>F45</f>
        <v>5463681.9299999997</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1747379.72</v>
      </c>
      <c r="F89" s="1171">
        <f>F50+F51</f>
        <v>5463681.9299999997</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1747379.72</v>
      </c>
      <c r="F92" s="1171">
        <f>F45</f>
        <v>5463681.9299999997</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1747379.72</v>
      </c>
      <c r="F93" s="1171">
        <f>F47+F48</f>
        <v>5463681.9299999997</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1747379.72</v>
      </c>
      <c r="F96" s="1055">
        <f>F74</f>
        <v>5463681.9299999997</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1747379.72</v>
      </c>
      <c r="F97" s="1171">
        <f>F75+F76</f>
        <v>5463681.9299999997</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1747379.72</v>
      </c>
      <c r="F105" s="1055">
        <f>F50</f>
        <v>5463681.9299999997</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1747379.72</v>
      </c>
      <c r="F106" s="1055">
        <f>preCE!AB18</f>
        <v>5463681.9299999997</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1747379.72</v>
      </c>
      <c r="F117" s="1055">
        <f>F74</f>
        <v>5463681.9299999997</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1747379.72</v>
      </c>
      <c r="F118" s="1055">
        <f>preCE!AE18</f>
        <v>5463681.9299999997</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1747379.72</v>
      </c>
      <c r="F121" s="1055">
        <f>F75</f>
        <v>5463681.9299999997</v>
      </c>
      <c r="G121" s="709"/>
      <c r="H121" s="641"/>
      <c r="I121" s="641"/>
      <c r="J121" s="641"/>
      <c r="K121" s="1189"/>
      <c r="L121" s="1190"/>
    </row>
    <row r="122" spans="1:12" ht="18">
      <c r="A122" s="2813" t="s">
        <v>2565</v>
      </c>
      <c r="B122" s="2812"/>
      <c r="C122" s="1179" t="str">
        <f>preCE!$C$18</f>
        <v>（一）综合收益总额</v>
      </c>
      <c r="D122" s="1029" t="s">
        <v>442</v>
      </c>
      <c r="E122" s="1028">
        <f>preCE!Q18-preCE!P18</f>
        <v>1747379.72</v>
      </c>
      <c r="F122" s="1055">
        <f>preCE!AE18-preCE!AD18</f>
        <v>5463681.9299999997</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U/SUMiEVEnPG9K6KsndeldxJW+bJpSKYXajhXhO9j0gqiCsxWzYt6MLXG8hFrNZqhsg12zGt/E4j+WlBEPLWgg==" saltValue="iBXm/hj29S6WE2ga+AQt4w==" spinCount="100000" sheet="1" scenarios="1" formatCells="0" autoFilter="0"/>
  <phoneticPr fontId="163" type="noConversion"/>
  <conditionalFormatting sqref="C9:F74">
    <cfRule type="expression" dxfId="4090" priority="23" stopIfTrue="1">
      <formula>AND($A9&lt;&gt;"＝",MOD(ROW(),3)=0)</formula>
    </cfRule>
    <cfRule type="expression" dxfId="4089" priority="24" stopIfTrue="1">
      <formula>$A9="："</formula>
    </cfRule>
    <cfRule type="expression" dxfId="4088" priority="25" stopIfTrue="1">
      <formula>$A9="＝"</formula>
    </cfRule>
  </conditionalFormatting>
  <conditionalFormatting sqref="E90:F90 E98:F98 E103:F103 E107:F107 E111:F111 E115:F115 E123:F123 E127:F127 E129:F129 E119:F119">
    <cfRule type="cellIs" dxfId="4087" priority="27" stopIfTrue="1" operator="notEqual">
      <formula>0</formula>
    </cfRule>
  </conditionalFormatting>
  <conditionalFormatting sqref="E94:F94">
    <cfRule type="cellIs" dxfId="408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22" workbookViewId="0">
      <selection activeCell="E94" sqref="E94"/>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编制单位：北京鼎竑信息技术有限公司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3423319.05</v>
      </c>
      <c r="F10" s="1080">
        <f t="shared" si="2"/>
        <v>5797532.9199999999</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v>1462.35</v>
      </c>
      <c r="F21" s="1080">
        <f t="shared" si="2"/>
        <v>0</v>
      </c>
      <c r="G21" s="641"/>
      <c r="H21" s="641"/>
      <c r="I21" s="641"/>
      <c r="J21" s="641"/>
    </row>
    <row r="22" spans="1:10" ht="18">
      <c r="A22" s="2752">
        <f t="shared" si="0"/>
        <v>0</v>
      </c>
      <c r="B22" s="2809">
        <v>7046</v>
      </c>
      <c r="C22" s="1077" t="str">
        <f t="shared" si="1"/>
        <v>收到其他与经营活动有关的现金</v>
      </c>
      <c r="D22" s="1078"/>
      <c r="E22" s="1079">
        <v>120871.54</v>
      </c>
      <c r="F22" s="1080">
        <f t="shared" si="2"/>
        <v>75955.25</v>
      </c>
      <c r="G22" s="641"/>
      <c r="H22" s="641"/>
      <c r="I22" s="641"/>
      <c r="J22" s="641"/>
    </row>
    <row r="23" spans="1:10" ht="18">
      <c r="A23" s="2752" t="str">
        <f t="shared" si="0"/>
        <v>＝</v>
      </c>
      <c r="B23" s="2809">
        <v>7048</v>
      </c>
      <c r="C23" s="1073" t="str">
        <f t="shared" si="1"/>
        <v>经营活动现金流入小计</v>
      </c>
      <c r="D23" s="1078"/>
      <c r="E23" s="1082">
        <f>SUM(E10:E22)</f>
        <v>3545652.94</v>
      </c>
      <c r="F23" s="1083">
        <f>SUM(F10:F22)</f>
        <v>5873488.1699999999</v>
      </c>
      <c r="G23" s="641"/>
      <c r="H23" s="641"/>
      <c r="I23" s="641"/>
      <c r="J23" s="641"/>
    </row>
    <row r="24" spans="1:10" ht="18">
      <c r="A24" s="2752">
        <f t="shared" si="0"/>
        <v>0</v>
      </c>
      <c r="B24" s="2809">
        <v>7051</v>
      </c>
      <c r="C24" s="1077" t="str">
        <f t="shared" si="1"/>
        <v>购买商品、接受劳务支付的现金</v>
      </c>
      <c r="D24" s="1078"/>
      <c r="E24" s="1079">
        <v>281714.11</v>
      </c>
      <c r="F24" s="1080">
        <f t="shared" ref="F24:F33" si="3">IF($B24="","",IF(ISERROR(VLOOKUP($B24,Sheet_Balance1,2,0)),0,VLOOKUP($B24,Sheet_Balance1,2,0)))</f>
        <v>81582.06</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2184383.0299999998</v>
      </c>
      <c r="F31" s="1080">
        <f t="shared" si="3"/>
        <v>4358899.5999999996</v>
      </c>
      <c r="G31" s="641"/>
      <c r="H31" s="641"/>
      <c r="I31" s="641"/>
      <c r="J31" s="641"/>
    </row>
    <row r="32" spans="1:10" ht="18">
      <c r="A32" s="2752">
        <f t="shared" si="0"/>
        <v>0</v>
      </c>
      <c r="B32" s="2809">
        <v>7071</v>
      </c>
      <c r="C32" s="1077" t="str">
        <f t="shared" si="1"/>
        <v>支付的各项税费</v>
      </c>
      <c r="D32" s="1078"/>
      <c r="E32" s="1079">
        <v>734423.99</v>
      </c>
      <c r="F32" s="1080">
        <f t="shared" si="3"/>
        <v>484649.86</v>
      </c>
      <c r="G32" s="641"/>
      <c r="H32" s="641"/>
      <c r="I32" s="641"/>
      <c r="J32" s="641"/>
    </row>
    <row r="33" spans="1:10" ht="18">
      <c r="A33" s="2752">
        <f t="shared" si="0"/>
        <v>0</v>
      </c>
      <c r="B33" s="2809">
        <v>7096</v>
      </c>
      <c r="C33" s="1077" t="str">
        <f t="shared" si="1"/>
        <v>支付其他与经营活动有关的现金</v>
      </c>
      <c r="D33" s="1078"/>
      <c r="E33" s="1079">
        <v>26330.27</v>
      </c>
      <c r="F33" s="1080">
        <f t="shared" si="3"/>
        <v>1504600.6</v>
      </c>
      <c r="G33" s="641"/>
      <c r="H33" s="641"/>
      <c r="I33" s="641"/>
      <c r="J33" s="641"/>
    </row>
    <row r="34" spans="1:10" ht="18">
      <c r="A34" s="2752" t="str">
        <f t="shared" si="0"/>
        <v>＝</v>
      </c>
      <c r="B34" s="2809">
        <v>7098</v>
      </c>
      <c r="C34" s="1073" t="str">
        <f t="shared" si="1"/>
        <v>经营活动现金流出小计</v>
      </c>
      <c r="D34" s="1078"/>
      <c r="E34" s="1082">
        <f>SUM(E24:E33)</f>
        <v>3226851.4</v>
      </c>
      <c r="F34" s="1083">
        <f>SUM(F24:F33)</f>
        <v>6429732.1200000001</v>
      </c>
      <c r="G34" s="641"/>
      <c r="H34" s="641"/>
      <c r="I34" s="641"/>
      <c r="J34" s="641"/>
    </row>
    <row r="35" spans="1:10" ht="18">
      <c r="A35" s="2752" t="str">
        <f t="shared" si="0"/>
        <v>＝</v>
      </c>
      <c r="B35" s="2809">
        <v>7099</v>
      </c>
      <c r="C35" s="1073" t="str">
        <f t="shared" si="1"/>
        <v>经营活动产生的现金流量净额</v>
      </c>
      <c r="D35" s="1078"/>
      <c r="E35" s="1082">
        <f>SUM(E23,-E34)</f>
        <v>318801.53999999998</v>
      </c>
      <c r="F35" s="1083">
        <f>SUM(F23,-F34)</f>
        <v>-556243.94999999995</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0</v>
      </c>
      <c r="F48" s="1083">
        <f>SUM(F43:F47)</f>
        <v>0</v>
      </c>
      <c r="G48" s="641"/>
      <c r="H48" s="641"/>
      <c r="I48" s="641"/>
      <c r="J48" s="641"/>
    </row>
    <row r="49" spans="1:10" ht="18">
      <c r="A49" s="2752" t="str">
        <f t="shared" si="5"/>
        <v>＝</v>
      </c>
      <c r="B49" s="2809">
        <v>7199</v>
      </c>
      <c r="C49" s="1073" t="str">
        <f t="shared" si="6"/>
        <v>投资活动产生的现金流量净额</v>
      </c>
      <c r="D49" s="1078"/>
      <c r="E49" s="1082">
        <f>SUM(E42,-E48)</f>
        <v>0</v>
      </c>
      <c r="F49" s="1083">
        <f>SUM(F42,-F48)</f>
        <v>0</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1194580.43</v>
      </c>
      <c r="G54" s="641"/>
      <c r="H54" s="641"/>
      <c r="I54" s="641"/>
      <c r="J54" s="641"/>
    </row>
    <row r="55" spans="1:10" ht="18">
      <c r="A55" s="2752" t="str">
        <f t="shared" si="5"/>
        <v>＝</v>
      </c>
      <c r="B55" s="2809">
        <v>7248</v>
      </c>
      <c r="C55" s="1073" t="str">
        <f t="shared" si="6"/>
        <v>筹资活动现金流入小计</v>
      </c>
      <c r="D55" s="1078"/>
      <c r="E55" s="1082">
        <f>SUM(E51,E53:E54)</f>
        <v>0</v>
      </c>
      <c r="F55" s="1083">
        <f>SUM(F51,F53:F54)</f>
        <v>1194580.43</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v>738000</v>
      </c>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738000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-738000</v>
      </c>
      <c r="F61" s="1083">
        <f>SUM(F55,-F60)</f>
        <v>1194580.43</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-419198.46</v>
      </c>
      <c r="F63" s="1083">
        <f>SUM(F35,F49,F61,F62)</f>
        <v>638336.48</v>
      </c>
      <c r="G63" s="641"/>
      <c r="H63" s="641"/>
      <c r="I63" s="641"/>
      <c r="J63" s="641"/>
    </row>
    <row r="64" spans="1:10" ht="18">
      <c r="A64" s="2752">
        <f t="shared" si="5"/>
        <v>0</v>
      </c>
      <c r="B64" s="2809">
        <v>7349</v>
      </c>
      <c r="C64" s="1084" t="str">
        <f t="shared" si="6"/>
        <v>加：期初现金及现金等价物余额</v>
      </c>
      <c r="D64" s="1078"/>
      <c r="E64" s="1079">
        <v>799162.6</v>
      </c>
      <c r="F64" s="1080">
        <f>IF($B64="","",IF(ISERROR(VLOOKUP($B64,Sheet_Balance1,2,0)),0,VLOOKUP($B64,Sheet_Balance1,2,0)))</f>
        <v>160826.12</v>
      </c>
      <c r="G64" s="641"/>
      <c r="H64" s="641"/>
      <c r="I64" s="641"/>
      <c r="J64" s="641"/>
    </row>
    <row r="65" spans="1:10" ht="18">
      <c r="A65" s="2752" t="str">
        <f t="shared" si="5"/>
        <v>＝</v>
      </c>
      <c r="B65" s="2809">
        <v>7399</v>
      </c>
      <c r="C65" s="1086" t="str">
        <f t="shared" si="6"/>
        <v>六、期末现金及现金等价物余额</v>
      </c>
      <c r="D65" s="1087"/>
      <c r="E65" s="1088">
        <f>SUM(E63,E64)</f>
        <v>379964.14</v>
      </c>
      <c r="F65" s="1089">
        <f>SUM(F63,F64)</f>
        <v>799162.6</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v>1747379.72</v>
      </c>
      <c r="F71" s="1100">
        <f>VLOOKUP(6799,Sheet_Trialbal,7,0)</f>
        <v>5463681.9299999997</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35987.15</v>
      </c>
      <c r="G72" s="709"/>
      <c r="H72" s="709"/>
      <c r="I72" s="709"/>
      <c r="J72" s="641"/>
    </row>
    <row r="73" spans="1:10" ht="18">
      <c r="A73" s="2830" t="str">
        <f>VLOOKUP($B73,Sheet_Items,4,0)</f>
        <v>_JR</v>
      </c>
      <c r="B73" s="2809">
        <v>7504</v>
      </c>
      <c r="C73" s="1102" t="str">
        <f>VLOOKUP($B73,Sheet_Items,6,0)</f>
        <v>信用减值损失</v>
      </c>
      <c r="D73" s="1098"/>
      <c r="E73" s="1099">
        <v>-4831.16</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1298.1600000000001</v>
      </c>
      <c r="F74" s="1100">
        <f t="shared" si="9"/>
        <v>507.85</v>
      </c>
      <c r="G74" s="709"/>
      <c r="H74" s="709"/>
      <c r="I74" s="709"/>
      <c r="J74" s="641"/>
    </row>
    <row r="75" spans="1:10" ht="18">
      <c r="A75" s="2830">
        <f t="shared" si="7"/>
        <v>0</v>
      </c>
      <c r="B75" s="2809">
        <v>7506</v>
      </c>
      <c r="C75" s="1656" t="str">
        <f t="shared" si="8"/>
        <v>无形资产摊销</v>
      </c>
      <c r="D75" s="1098"/>
      <c r="E75" s="1099">
        <v>218545.8</v>
      </c>
      <c r="F75" s="1100">
        <f t="shared" si="9"/>
        <v>0</v>
      </c>
      <c r="G75" s="709"/>
      <c r="H75" s="709"/>
      <c r="I75" s="709"/>
      <c r="J75" s="641"/>
    </row>
    <row r="76" spans="1:10" ht="18">
      <c r="A76" s="2830">
        <f t="shared" si="7"/>
        <v>0</v>
      </c>
      <c r="B76" s="2809">
        <v>7507</v>
      </c>
      <c r="C76" s="1656" t="str">
        <f t="shared" si="8"/>
        <v>长期待摊费用摊销</v>
      </c>
      <c r="D76" s="1098"/>
      <c r="E76" s="1099"/>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c r="F80" s="1100">
        <f t="shared" si="9"/>
        <v>0</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v>-1090974.7</v>
      </c>
      <c r="F82" s="1100">
        <f t="shared" si="9"/>
        <v>-8996.7900000000009</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c r="F84" s="1100">
        <f t="shared" si="9"/>
        <v>0</v>
      </c>
      <c r="G84" s="709"/>
      <c r="H84" s="709"/>
      <c r="I84" s="709"/>
      <c r="J84" s="641"/>
    </row>
    <row r="85" spans="1:12" ht="18">
      <c r="A85" s="2830">
        <f t="shared" si="7"/>
        <v>0</v>
      </c>
      <c r="B85" s="2809">
        <v>7518</v>
      </c>
      <c r="C85" s="1656" t="str">
        <f t="shared" si="8"/>
        <v>经营性应收项目的减少（增加以“－”号填列）</v>
      </c>
      <c r="D85" s="1098"/>
      <c r="E85" s="1099">
        <v>4227653.54</v>
      </c>
      <c r="F85" s="1100">
        <f t="shared" si="9"/>
        <v>-5015190.28</v>
      </c>
      <c r="G85" s="709"/>
      <c r="H85" s="709"/>
      <c r="I85" s="709"/>
      <c r="J85" s="641"/>
    </row>
    <row r="86" spans="1:12" ht="18">
      <c r="A86" s="2830">
        <f t="shared" si="7"/>
        <v>0</v>
      </c>
      <c r="B86" s="2809">
        <v>7519</v>
      </c>
      <c r="C86" s="1656" t="str">
        <f t="shared" si="8"/>
        <v>经营性应付项目的增加（减少以“－”号填列）</v>
      </c>
      <c r="D86" s="1098"/>
      <c r="E86" s="1099">
        <v>-4780269.82</v>
      </c>
      <c r="F86" s="1100">
        <f t="shared" si="9"/>
        <v>-1032233.81</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318801.53999999998</v>
      </c>
      <c r="F88" s="1105">
        <f>SUM(F71:F87)</f>
        <v>-556243.94999999995</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v>379964.14</v>
      </c>
      <c r="F94" s="1100">
        <f>VLOOKUP(1015,Sheet_Trialbal,7,0)</f>
        <v>799162.6</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799162.6</v>
      </c>
      <c r="F95" s="1100">
        <f>IF($B95="","",IF(ISERROR(VLOOKUP($B95,Sheet_Balance1,2,0)),0,VLOOKUP($B95,Sheet_Balance1,2,0)))</f>
        <v>160826.12</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-419198.46</v>
      </c>
      <c r="F98" s="1110">
        <f>SUM(F94,-F95,F96,-F97)</f>
        <v>638336.48</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799162.6</v>
      </c>
      <c r="F103" s="1055"/>
      <c r="G103" s="709"/>
      <c r="H103" s="709"/>
      <c r="I103" s="709"/>
      <c r="J103" s="641"/>
    </row>
    <row r="104" spans="1:10" ht="18">
      <c r="A104" s="2830"/>
      <c r="B104" s="2831"/>
      <c r="C104" s="1122" t="str">
        <f>C65&amp;" | "&amp;F101</f>
        <v>六、期末现金及现金等价物余额 | 上期金额</v>
      </c>
      <c r="D104" s="1120" t="s">
        <v>578</v>
      </c>
      <c r="E104" s="1028">
        <f>F65</f>
        <v>799162.6</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1747379.72</v>
      </c>
      <c r="F108" s="1055">
        <f>F71</f>
        <v>5463681.9299999997</v>
      </c>
      <c r="G108" s="709"/>
      <c r="H108" s="709"/>
      <c r="I108" s="709"/>
      <c r="J108" s="641"/>
    </row>
    <row r="109" spans="1:10" ht="18">
      <c r="A109" s="2830"/>
      <c r="B109" s="2831">
        <v>6799</v>
      </c>
      <c r="C109" s="1122" t="str">
        <f>VLOOKUP($B109,Sheet_Items,2,0)</f>
        <v>净利润</v>
      </c>
      <c r="D109" s="1120" t="s">
        <v>441</v>
      </c>
      <c r="E109" s="1028">
        <f>preIS!E45</f>
        <v>1747379.72</v>
      </c>
      <c r="F109" s="1055">
        <f>preIS!F45</f>
        <v>5463681.9299999997</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318801.53999999998</v>
      </c>
      <c r="F113" s="1055">
        <f>F88</f>
        <v>-556243.94999999995</v>
      </c>
      <c r="G113" s="709"/>
      <c r="H113" s="709"/>
      <c r="I113" s="709"/>
      <c r="J113" s="641"/>
    </row>
    <row r="114" spans="1:10" ht="18">
      <c r="A114" s="2830"/>
      <c r="B114" s="2831">
        <v>7099</v>
      </c>
      <c r="C114" s="1122" t="str">
        <f>C35&amp;"（主表）"</f>
        <v>经营活动产生的现金流量净额（主表）</v>
      </c>
      <c r="D114" s="1120" t="s">
        <v>578</v>
      </c>
      <c r="E114" s="1028">
        <f>E35</f>
        <v>318801.53999999998</v>
      </c>
      <c r="F114" s="1055">
        <f>F35</f>
        <v>-556243.94999999995</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379964.14</v>
      </c>
      <c r="F117" s="1055">
        <f>SUM(F94,F96)</f>
        <v>799162.6</v>
      </c>
      <c r="G117" s="709"/>
      <c r="H117" s="709"/>
      <c r="I117" s="709"/>
      <c r="J117" s="641"/>
    </row>
    <row r="118" spans="1:10" ht="18">
      <c r="A118" s="2830"/>
      <c r="B118" s="2831">
        <v>7399</v>
      </c>
      <c r="C118" s="1122" t="str">
        <f>C65&amp;"（主表）"</f>
        <v>六、期末现金及现金等价物余额（主表）</v>
      </c>
      <c r="D118" s="1120" t="s">
        <v>578</v>
      </c>
      <c r="E118" s="1028">
        <f>E65</f>
        <v>379964.14</v>
      </c>
      <c r="F118" s="1055">
        <f>F65</f>
        <v>799162.6</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799162.6</v>
      </c>
      <c r="F121" s="1055">
        <f>SUM(F95,F97)</f>
        <v>160826.12</v>
      </c>
      <c r="G121" s="709"/>
      <c r="H121" s="709"/>
      <c r="I121" s="709"/>
      <c r="J121" s="641"/>
    </row>
    <row r="122" spans="1:10" ht="18">
      <c r="A122" s="2830"/>
      <c r="B122" s="2831">
        <v>7349</v>
      </c>
      <c r="C122" s="1122" t="str">
        <f>C64&amp;"（主表）"</f>
        <v>加：期初现金及现金等价物余额（主表）</v>
      </c>
      <c r="D122" s="1120" t="s">
        <v>578</v>
      </c>
      <c r="E122" s="1028">
        <f>E64</f>
        <v>799162.6</v>
      </c>
      <c r="F122" s="1055">
        <f>F64</f>
        <v>160826.12</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-419198.46</v>
      </c>
      <c r="F125" s="1055">
        <f>F98</f>
        <v>638336.48</v>
      </c>
      <c r="G125" s="709"/>
      <c r="H125" s="709"/>
      <c r="I125" s="709"/>
      <c r="J125" s="641"/>
    </row>
    <row r="126" spans="1:10" ht="18">
      <c r="A126" s="2830"/>
      <c r="B126" s="2831">
        <v>7348</v>
      </c>
      <c r="C126" s="1122" t="str">
        <f>C63&amp;"（主表）"</f>
        <v>五、现金及现金等价物净增加额（主表）</v>
      </c>
      <c r="D126" s="1120" t="s">
        <v>578</v>
      </c>
      <c r="E126" s="1028">
        <f>E63</f>
        <v>-419198.46</v>
      </c>
      <c r="F126" s="1055">
        <f>F63</f>
        <v>638336.48</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WR3sCG74U1AUnM9iU8/kAwUI5yfpeJkI97xRbZ1DpUTrJykxtK2bnMQczDN8y0+j8OCbCTyoqF5XDa4stVRW8g==" saltValue="ovkgFgS3kmDxlkCxHaHsrw==" spinCount="100000" sheet="1" scenarios="1" formatCells="0" autoFilter="0"/>
  <phoneticPr fontId="163" type="noConversion"/>
  <conditionalFormatting sqref="H2">
    <cfRule type="expression" dxfId="4085" priority="6" stopIfTrue="1">
      <formula>$H$2&lt;&gt;""</formula>
    </cfRule>
  </conditionalFormatting>
  <conditionalFormatting sqref="C9:F64">
    <cfRule type="expression" dxfId="4084" priority="1" stopIfTrue="1">
      <formula>AND($A9&lt;&gt;"＝",MOD(ROW(),3)=0)</formula>
    </cfRule>
    <cfRule type="expression" dxfId="4083" priority="2" stopIfTrue="1">
      <formula>$A9="："</formula>
    </cfRule>
    <cfRule type="expression" dxfId="4082" priority="3" stopIfTrue="1">
      <formula>$A9="＝"</formula>
    </cfRule>
  </conditionalFormatting>
  <conditionalFormatting sqref="E129:F129 E115:F115 E110:F110 E119:F119 E123:F123 E127:F127 E105:F105">
    <cfRule type="cellIs" dxfId="408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Q46" workbookViewId="0">
      <selection activeCell="Y63" sqref="Y63:AG65"/>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06" t="s">
        <v>974</v>
      </c>
      <c r="D3" s="3106"/>
      <c r="E3" s="3106"/>
      <c r="F3" s="3106"/>
      <c r="G3" s="3106"/>
      <c r="H3" s="3106"/>
      <c r="I3" s="3106"/>
      <c r="J3" s="3106"/>
      <c r="K3" s="3106"/>
      <c r="L3" s="3106"/>
      <c r="M3" s="3106"/>
      <c r="N3" s="3106"/>
      <c r="O3" s="3106"/>
      <c r="P3" s="3106"/>
      <c r="Q3" s="3106"/>
      <c r="R3" s="3106"/>
      <c r="S3" s="3106"/>
      <c r="T3" s="3106"/>
      <c r="U3" s="3106"/>
      <c r="V3" s="3106"/>
      <c r="W3" s="3106"/>
      <c r="X3" s="3106"/>
      <c r="Y3" s="3106"/>
      <c r="Z3" s="3106"/>
      <c r="AA3" s="3106"/>
      <c r="AB3" s="3106"/>
      <c r="AC3" s="1043"/>
      <c r="AD3" s="1043"/>
      <c r="AE3" s="1043"/>
      <c r="AF3" s="641"/>
      <c r="AG3" s="641"/>
      <c r="AH3" s="641"/>
      <c r="AI3" s="641"/>
    </row>
    <row r="4" spans="1:35" ht="18.75" customHeight="1">
      <c r="A4" s="2749"/>
      <c r="B4" s="2749"/>
      <c r="C4" s="3107" t="str">
        <f>Lead!$F$7</f>
        <v>2019年度</v>
      </c>
      <c r="D4" s="3107"/>
      <c r="E4" s="3107"/>
      <c r="F4" s="3107"/>
      <c r="G4" s="3107"/>
      <c r="H4" s="3107"/>
      <c r="I4" s="3107"/>
      <c r="J4" s="3107"/>
      <c r="K4" s="3107"/>
      <c r="L4" s="3107"/>
      <c r="M4" s="3107"/>
      <c r="N4" s="3107"/>
      <c r="O4" s="3107"/>
      <c r="P4" s="3107"/>
      <c r="Q4" s="3107"/>
      <c r="R4" s="3107"/>
      <c r="S4" s="3107"/>
      <c r="T4" s="3107"/>
      <c r="U4" s="3107"/>
      <c r="V4" s="3107"/>
      <c r="W4" s="3107"/>
      <c r="X4" s="3107"/>
      <c r="Y4" s="3107"/>
      <c r="Z4" s="3107"/>
      <c r="AA4" s="3107"/>
      <c r="AB4" s="3107"/>
      <c r="AC4" s="965"/>
      <c r="AD4" s="965"/>
      <c r="AE4" s="833" t="s">
        <v>2607</v>
      </c>
      <c r="AF4" s="641"/>
      <c r="AG4" s="641"/>
      <c r="AH4" s="641"/>
      <c r="AI4" s="641"/>
    </row>
    <row r="5" spans="1:35" ht="18.75" customHeight="1">
      <c r="A5" s="2749"/>
      <c r="B5" s="2749"/>
      <c r="C5" s="966" t="str">
        <f>Lead!$B$5&amp;"："&amp;Lead!$C$5</f>
        <v>编制单位：北京鼎竑信息技术有限公司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8" t="s">
        <v>713</v>
      </c>
      <c r="E7" s="3109"/>
      <c r="F7" s="3109"/>
      <c r="G7" s="3109"/>
      <c r="H7" s="3109"/>
      <c r="I7" s="3109"/>
      <c r="J7" s="3109"/>
      <c r="K7" s="3109"/>
      <c r="L7" s="3109"/>
      <c r="M7" s="3109"/>
      <c r="N7" s="3109"/>
      <c r="O7" s="3110"/>
      <c r="P7" s="1008"/>
      <c r="Q7" s="1017"/>
      <c r="R7" s="3111" t="s">
        <v>713</v>
      </c>
      <c r="S7" s="3109"/>
      <c r="T7" s="3109"/>
      <c r="U7" s="3109"/>
      <c r="V7" s="3109"/>
      <c r="W7" s="3109"/>
      <c r="X7" s="3109"/>
      <c r="Y7" s="3109"/>
      <c r="Z7" s="3109"/>
      <c r="AA7" s="3109"/>
      <c r="AB7" s="3109"/>
      <c r="AC7" s="3110"/>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preBS!K54</f>
        <v>0</v>
      </c>
      <c r="E9" s="918"/>
      <c r="F9" s="918"/>
      <c r="G9" s="918"/>
      <c r="H9" s="918"/>
      <c r="I9" s="918"/>
      <c r="J9" s="918"/>
      <c r="K9" s="918"/>
      <c r="L9" s="918">
        <f>preBS!L62</f>
        <v>0</v>
      </c>
      <c r="M9" s="918"/>
      <c r="N9" s="918"/>
      <c r="O9" s="918"/>
      <c r="P9" s="918"/>
      <c r="Q9" s="1020">
        <f>SUM(D9:H9,-I9,J9:P9)</f>
        <v>0</v>
      </c>
      <c r="R9" s="1021">
        <f>IF(ISERROR(VLOOKUP(VALUE(R$2&amp;$B9),Sheet_Balance1,2,0)),0,VLOOKUP(VALUE(R$2&amp;$B9),Sheet_Balance1,2,0))</f>
        <v>1000000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-7897651.2000000002</v>
      </c>
      <c r="AC9" s="918">
        <f t="shared" si="3"/>
        <v>0</v>
      </c>
      <c r="AD9" s="918">
        <f t="shared" si="3"/>
        <v>0</v>
      </c>
      <c r="AE9" s="1049">
        <f>SUM(R9:V9,-W9,X9:AD9)</f>
        <v>-6897651.2000000002</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0</v>
      </c>
      <c r="O14" s="885">
        <f t="shared" si="6"/>
        <v>0</v>
      </c>
      <c r="P14" s="885">
        <f t="shared" si="6"/>
        <v>0</v>
      </c>
      <c r="Q14" s="1020">
        <f t="shared" si="4"/>
        <v>0</v>
      </c>
      <c r="R14" s="1022">
        <f t="shared" ref="R14:AD14" si="7">SUM(R9:R13)</f>
        <v>1000000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-7897651.2000000002</v>
      </c>
      <c r="AC14" s="885">
        <f t="shared" si="7"/>
        <v>0</v>
      </c>
      <c r="AD14" s="885">
        <f t="shared" si="7"/>
        <v>0</v>
      </c>
      <c r="AE14" s="1049">
        <f t="shared" si="5"/>
        <v>-6897651.2000000002</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1747379.72</v>
      </c>
      <c r="O15" s="885">
        <f t="shared" si="8"/>
        <v>0</v>
      </c>
      <c r="P15" s="885">
        <f t="shared" si="8"/>
        <v>0</v>
      </c>
      <c r="Q15" s="1020">
        <f t="shared" si="4"/>
        <v>1747379.72</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5463681.9299999997</v>
      </c>
      <c r="AC15" s="885">
        <f t="shared" si="9"/>
        <v>0</v>
      </c>
      <c r="AD15" s="885">
        <f t="shared" si="9"/>
        <v>0</v>
      </c>
      <c r="AE15" s="1049">
        <f t="shared" si="5"/>
        <v>5463681.9299999997</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1747379.72</v>
      </c>
      <c r="O16" s="918"/>
      <c r="P16" s="918"/>
      <c r="Q16" s="1020">
        <f t="shared" si="4"/>
        <v>1747379.72</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5463681.9299999997</v>
      </c>
      <c r="AC16" s="918">
        <f t="shared" ref="AC16:AD18" si="13">IF(ISERROR(VLOOKUP(VALUE(AC$2&amp;$B16),Sheet_Balance1,2,0)),0,VLOOKUP(VALUE(AC$2&amp;$B16),Sheet_Balance1,2,0))</f>
        <v>0</v>
      </c>
      <c r="AD16" s="918">
        <f t="shared" si="13"/>
        <v>0</v>
      </c>
      <c r="AE16" s="1049">
        <f t="shared" si="5"/>
        <v>5463681.9299999997</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1747379.72</v>
      </c>
      <c r="O18" s="918"/>
      <c r="P18" s="918"/>
      <c r="Q18" s="1020">
        <f t="shared" si="4"/>
        <v>1747379.72</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5463681.9299999997</v>
      </c>
      <c r="AC18" s="918">
        <f t="shared" si="13"/>
        <v>0</v>
      </c>
      <c r="AD18" s="918">
        <f t="shared" si="13"/>
        <v>0</v>
      </c>
      <c r="AE18" s="1049">
        <f t="shared" si="5"/>
        <v>5463681.9299999997</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1747379.72</v>
      </c>
      <c r="O40" s="986">
        <f t="shared" si="39"/>
        <v>0</v>
      </c>
      <c r="P40" s="1010">
        <f t="shared" si="39"/>
        <v>0</v>
      </c>
      <c r="Q40" s="1025">
        <f t="shared" si="39"/>
        <v>1747379.72</v>
      </c>
      <c r="R40" s="1010">
        <f t="shared" ref="R40:AD40" si="40">SUM(R14,R15)</f>
        <v>1000000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-2433969.27</v>
      </c>
      <c r="AC40" s="986">
        <f t="shared" si="40"/>
        <v>0</v>
      </c>
      <c r="AD40" s="986">
        <f t="shared" si="40"/>
        <v>0</v>
      </c>
      <c r="AE40" s="1051">
        <f t="shared" si="39"/>
        <v>-1433969.27</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1433969.27</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0</v>
      </c>
      <c r="AC47" s="1001">
        <f t="shared" si="41"/>
        <v>0</v>
      </c>
      <c r="AD47" s="1001">
        <f t="shared" si="41"/>
        <v>0</v>
      </c>
      <c r="AE47" s="1054">
        <f t="shared" si="41"/>
        <v>0</v>
      </c>
      <c r="AF47" s="641"/>
      <c r="AG47" s="641"/>
      <c r="AH47" s="641"/>
      <c r="AI47" s="641"/>
    </row>
    <row r="48" spans="1:35" ht="18">
      <c r="A48" s="2752" t="s">
        <v>2565</v>
      </c>
      <c r="B48" s="2752"/>
      <c r="C48" s="992" t="str">
        <f>IF(C47=0,"Balanced","Diff "&amp;TEXT(ROUND(C47,2),"#,###.00"))</f>
        <v>Diff 1,433,969.27</v>
      </c>
      <c r="D48" s="753"/>
      <c r="E48" s="753"/>
      <c r="F48" s="753"/>
      <c r="G48" s="753"/>
      <c r="H48" s="753"/>
      <c r="I48" s="753"/>
      <c r="J48" s="753"/>
      <c r="K48" s="753"/>
      <c r="L48" s="753"/>
      <c r="M48" s="1013" t="str">
        <f>$R$6&amp;":"&amp;$C$40</f>
        <v>上年金额:四、本年年末余额</v>
      </c>
      <c r="N48" s="833"/>
      <c r="O48" s="833"/>
      <c r="P48" s="847"/>
      <c r="Q48" s="1029" t="s">
        <v>442</v>
      </c>
      <c r="R48" s="1030">
        <f>R40</f>
        <v>1000000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-2433969.27</v>
      </c>
      <c r="AC48" s="1031">
        <f t="shared" si="42"/>
        <v>0</v>
      </c>
      <c r="AD48" s="1031">
        <f t="shared" si="42"/>
        <v>0</v>
      </c>
      <c r="AE48" s="1055">
        <f t="shared" si="42"/>
        <v>-1433969.27</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-1000000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2433969.27</v>
      </c>
      <c r="AC49" s="1005">
        <f t="shared" si="43"/>
        <v>0</v>
      </c>
      <c r="AD49" s="1005">
        <f t="shared" si="43"/>
        <v>0</v>
      </c>
      <c r="AE49" s="1056">
        <f t="shared" si="43"/>
        <v>1433969.27</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1747379.72</v>
      </c>
      <c r="O54" s="1001">
        <f t="shared" si="45"/>
        <v>0</v>
      </c>
      <c r="P54" s="1001">
        <f t="shared" si="45"/>
        <v>0</v>
      </c>
      <c r="Q54" s="1038">
        <f t="shared" si="45"/>
        <v>1747379.72</v>
      </c>
      <c r="R54" s="1030">
        <f t="shared" si="45"/>
        <v>1000000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-2433969.27</v>
      </c>
      <c r="AC54" s="1031">
        <f t="shared" si="45"/>
        <v>0</v>
      </c>
      <c r="AD54" s="1031">
        <f t="shared" si="45"/>
        <v>0</v>
      </c>
      <c r="AE54" s="1055">
        <f t="shared" si="45"/>
        <v>-1433969.27</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1747379.72</v>
      </c>
      <c r="O55" s="1001"/>
      <c r="P55" s="1001">
        <f>preBS!K66</f>
        <v>0</v>
      </c>
      <c r="Q55" s="1038">
        <f>preBS!K67</f>
        <v>1747379.72</v>
      </c>
      <c r="R55" s="1030">
        <f>preBS!L54</f>
        <v>1000000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-2433969.27</v>
      </c>
      <c r="AC55" s="1031"/>
      <c r="AD55" s="1031">
        <f>preBS!L66</f>
        <v>0</v>
      </c>
      <c r="AE55" s="1055">
        <f>preBS!L67</f>
        <v>-1433969.27</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ABsVvZ0DeEOHZ/yIvWViBGlXSXxPi2oHry17upRUdGu+goqK80+Uu7g0ASPxjY9Q6MOurxG8iPfupoBy+wxx0Q==" saltValue="xrqztEpkKOAlq1NAORZ8cw==" spinCount="100000" sheet="1" scenarios="1" formatCells="0" autoFilter="0"/>
  <mergeCells count="4">
    <mergeCell ref="C3:AB3"/>
    <mergeCell ref="C4:AB4"/>
    <mergeCell ref="D7:O7"/>
    <mergeCell ref="R7:AC7"/>
  </mergeCells>
  <phoneticPr fontId="163" type="noConversion"/>
  <conditionalFormatting sqref="C40:P40 R40:AD40">
    <cfRule type="expression" dxfId="4080" priority="1" stopIfTrue="1">
      <formula>$A40="："</formula>
    </cfRule>
    <cfRule type="expression" dxfId="4079" priority="2" stopIfTrue="1">
      <formula>$A40="＝"</formula>
    </cfRule>
    <cfRule type="expression" dxfId="4078" priority="3" stopIfTrue="1">
      <formula>AND($A40&lt;&gt;"＝",MOD(ROW(),3)=0)</formula>
    </cfRule>
  </conditionalFormatting>
  <conditionalFormatting sqref="C47 D56:AE56 R49:AE49">
    <cfRule type="cellIs" dxfId="407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北京鼎竑信息技术有限公司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3"/>
      <c r="U6" s="1647" t="s">
        <v>6822</v>
      </c>
    </row>
    <row r="7" spans="1:21" ht="12.75" thickTop="1">
      <c r="A7" s="1647"/>
      <c r="B7" s="1647"/>
      <c r="C7" s="1647"/>
      <c r="D7" s="876"/>
      <c r="E7" s="877"/>
      <c r="F7" s="878" t="s">
        <v>2437</v>
      </c>
      <c r="G7" s="879"/>
      <c r="H7" s="879"/>
      <c r="I7" s="906"/>
      <c r="J7" s="907" t="s">
        <v>2444</v>
      </c>
      <c r="K7" s="908"/>
      <c r="L7" s="908"/>
      <c r="M7" s="909"/>
      <c r="N7" s="641"/>
      <c r="O7" s="641"/>
      <c r="P7" s="641"/>
      <c r="Q7" s="641"/>
      <c r="T7" s="3054"/>
      <c r="U7" s="906"/>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1"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5">
        <v>1</v>
      </c>
      <c r="U9" s="3062"/>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5">
        <v>1000</v>
      </c>
      <c r="U10" s="3062"/>
    </row>
    <row r="11" spans="1:21" ht="18">
      <c r="A11" s="1648">
        <f t="shared" si="0"/>
        <v>0</v>
      </c>
      <c r="B11" s="1647">
        <f t="shared" si="1"/>
        <v>1</v>
      </c>
      <c r="C11" s="1647" t="str">
        <f t="shared" si="2"/>
        <v>J</v>
      </c>
      <c r="D11" s="1659">
        <v>1015</v>
      </c>
      <c r="E11" s="886" t="str">
        <f t="shared" si="3"/>
        <v>货币资金</v>
      </c>
      <c r="F11" s="884">
        <f t="shared" ref="F11:F62" si="4">VLOOKUP($D11,Sheet_Prebs1,4,0)</f>
        <v>0</v>
      </c>
      <c r="G11" s="885">
        <f>SUMIF(AJE!$B:$B,$C11&amp;$D11&amp;"*",AJE!$O:$O)</f>
        <v>0</v>
      </c>
      <c r="H11" s="885">
        <f>SUMIF(AJE!$B:$B,$C11&amp;$D11&amp;"*",AJE!$P:$P)</f>
        <v>0</v>
      </c>
      <c r="I11" s="913">
        <f>($B11*F11+G11-H11)*$B11</f>
        <v>0</v>
      </c>
      <c r="J11" s="914">
        <f t="shared" ref="J11:J62" si="5">VLOOKUP($D11,Sheet_Prebs1,5,0)</f>
        <v>799162.6</v>
      </c>
      <c r="K11" s="885">
        <f>SUMIF('AJE1'!$B:$B,$C11&amp;$D11&amp;"*",'AJE1'!$O:$O)</f>
        <v>0</v>
      </c>
      <c r="L11" s="885">
        <f>SUMIF('AJE1'!$B:$B,$C11&amp;$D11&amp;"*",'AJE1'!$P:$P)</f>
        <v>0</v>
      </c>
      <c r="M11" s="891">
        <f t="shared" ref="M11:M62" si="6">($B11*J11+K11-L11)*$B11</f>
        <v>799162.6</v>
      </c>
      <c r="N11" s="641"/>
      <c r="O11" s="641"/>
      <c r="P11" s="641"/>
      <c r="Q11" s="641"/>
      <c r="T11" s="3055">
        <v>1015</v>
      </c>
      <c r="U11" s="3062">
        <v>799162.6</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2">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2">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2">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2">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2">
        <v>5191249.5199999996</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5191249.5199999996</v>
      </c>
      <c r="K17" s="885">
        <f>SUMIF('AJE1'!$B:$B,$C17&amp;$D17&amp;"*",'AJE1'!$O:$O)+SUMIF('AJE1'!$B:$B,"J1121*",'AJE1'!$O:$O)+SUMIF('AJE1'!$B:$B,"J1122*",'AJE1'!$O:$O)</f>
        <v>0</v>
      </c>
      <c r="L17" s="885">
        <f>SUMIF('AJE1'!$B:$B,$C17&amp;$D17&amp;"*",'AJE1'!$P:$P)+SUMIF('AJE1'!$B:$B,"J1121*",'AJE1'!$P:$P)+SUMIF('AJE1'!$B:$B,"J1122*",'AJE1'!$P:$P)</f>
        <v>0</v>
      </c>
      <c r="M17" s="891">
        <f t="shared" si="6"/>
        <v>5191249.5199999996</v>
      </c>
      <c r="N17" s="641"/>
      <c r="O17" s="641"/>
      <c r="P17" s="641"/>
      <c r="Q17" s="641"/>
      <c r="T17" s="3055">
        <v>1121</v>
      </c>
      <c r="U17" s="3062">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2">
        <v>5191249.5199999996</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5191249.5199999996</v>
      </c>
      <c r="K19" s="885">
        <f>SUMIF('AJE1'!$B:$B,$C19&amp;$D19&amp;"*",'AJE1'!$O:$O)</f>
        <v>0</v>
      </c>
      <c r="L19" s="885">
        <f>SUMIF('AJE1'!$B:$B,$C19&amp;$D19&amp;"*",'AJE1'!$P:$P)</f>
        <v>0</v>
      </c>
      <c r="M19" s="891">
        <f t="shared" si="6"/>
        <v>5191249.5199999996</v>
      </c>
      <c r="N19" s="641"/>
      <c r="O19" s="641"/>
      <c r="P19" s="641"/>
      <c r="Q19" s="641"/>
      <c r="T19" s="3055">
        <v>1125</v>
      </c>
      <c r="U19" s="3062">
        <v>0</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2">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55">
        <v>1211</v>
      </c>
      <c r="U21" s="3062">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2">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2">
        <v>70022.3</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2">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70022.3</v>
      </c>
      <c r="K25" s="885">
        <f>SUMIF('AJE1'!$B:$B,"J1221*",'AJE1'!$O:$O)+SUMIF('AJE1'!$B:$B,"J1132*",'AJE1'!$O:$O)+SUMIF('AJE1'!$B:$B,"J1131*",'AJE1'!$O:$O)</f>
        <v>0</v>
      </c>
      <c r="L25" s="885">
        <f>SUMIF('AJE1'!$B:$B,"J1221*",'AJE1'!$P:$P)+SUMIF('AJE1'!$B:$B,"J1132*",'AJE1'!$P:$P)+SUMIF('AJE1'!$B:$B,"J1131*",'AJE1'!$P:$P)</f>
        <v>0</v>
      </c>
      <c r="M25" s="891">
        <f t="shared" si="6"/>
        <v>70022.3</v>
      </c>
      <c r="N25" s="641"/>
      <c r="O25" s="641"/>
      <c r="P25" s="641"/>
      <c r="Q25" s="641"/>
      <c r="T25" s="3055">
        <v>1131</v>
      </c>
      <c r="U25" s="3062">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2">
        <v>70022.3</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2">
        <v>0</v>
      </c>
    </row>
    <row r="28" spans="1:21"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70022.3</v>
      </c>
      <c r="K28" s="885">
        <f>SUMIF('AJE1'!$B:$B,$C28&amp;$D28&amp;"*",'AJE1'!$O:$O)</f>
        <v>0</v>
      </c>
      <c r="L28" s="885">
        <f>SUMIF('AJE1'!$B:$B,$C28&amp;$D28&amp;"*",'AJE1'!$P:$P)</f>
        <v>0</v>
      </c>
      <c r="M28" s="891">
        <f t="shared" si="6"/>
        <v>70022.3</v>
      </c>
      <c r="N28" s="641"/>
      <c r="O28" s="641"/>
      <c r="P28" s="641"/>
      <c r="Q28" s="641"/>
      <c r="T28" s="3055">
        <v>1400</v>
      </c>
      <c r="U28" s="3062">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2">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5">
        <v>1495</v>
      </c>
      <c r="U30" s="3062">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2">
        <v>0</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2">
        <v>6060434.4199999999</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2"/>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5">
        <v>1600</v>
      </c>
      <c r="U34" s="3062">
        <v>0</v>
      </c>
    </row>
    <row r="35" spans="1:21" ht="18">
      <c r="A35" s="1648" t="str">
        <f t="shared" si="0"/>
        <v>＝</v>
      </c>
      <c r="B35" s="1647">
        <f t="shared" si="1"/>
        <v>0</v>
      </c>
      <c r="C35" s="1647">
        <f t="shared" si="2"/>
        <v>0</v>
      </c>
      <c r="D35" s="1659">
        <v>1498</v>
      </c>
      <c r="E35" s="888" t="str">
        <f t="shared" si="3"/>
        <v>流动资产</v>
      </c>
      <c r="F35" s="884">
        <f>SUM(F11:F34)-SUM(F17,F26,F27,F28)</f>
        <v>0</v>
      </c>
      <c r="G35" s="885">
        <f t="shared" ref="G35:M35" si="11">SUM(G11:G34)-SUM(G17,G26,G27,G28)</f>
        <v>0</v>
      </c>
      <c r="H35" s="885">
        <f t="shared" si="11"/>
        <v>0</v>
      </c>
      <c r="I35" s="913">
        <f t="shared" si="11"/>
        <v>0</v>
      </c>
      <c r="J35" s="914">
        <f t="shared" si="11"/>
        <v>6060434.4199999999</v>
      </c>
      <c r="K35" s="885">
        <f t="shared" si="11"/>
        <v>0</v>
      </c>
      <c r="L35" s="885">
        <f t="shared" si="11"/>
        <v>0</v>
      </c>
      <c r="M35" s="891">
        <f t="shared" si="11"/>
        <v>6060434.4199999999</v>
      </c>
      <c r="N35" s="641"/>
      <c r="O35" s="641"/>
      <c r="P35" s="641"/>
      <c r="Q35" s="641"/>
      <c r="T35" s="3055">
        <v>1503</v>
      </c>
      <c r="U35" s="3062">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5">
        <v>1501</v>
      </c>
      <c r="U36" s="3062">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2">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2">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2">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2">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2">
        <v>2260.42</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2">
        <v>2260.42</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2">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2">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2">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2">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2">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2260.42</v>
      </c>
      <c r="K48" s="885">
        <f>SUMIF('AJE1'!$B:$B,"J1601*",'AJE1'!$O:$O)+SUMIF('AJE1'!$B:$B,"J1606*",'AJE1'!$O:$O)</f>
        <v>0</v>
      </c>
      <c r="L48" s="885">
        <f>SUMIF('AJE1'!$B:$B,"J1601*",'AJE1'!$P:$P)+SUMIF('AJE1'!$B:$B,"J1606*",'AJE1'!$P:$P)</f>
        <v>0</v>
      </c>
      <c r="M48" s="891">
        <f t="shared" si="6"/>
        <v>2260.42</v>
      </c>
      <c r="N48" s="641"/>
      <c r="O48" s="641"/>
      <c r="P48" s="641"/>
      <c r="Q48" s="641"/>
      <c r="T48" s="3055">
        <v>1631</v>
      </c>
      <c r="U48" s="3062">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2260.42</v>
      </c>
      <c r="K49" s="885">
        <f>SUMIF('AJE1'!$B:$B,$C49&amp;$D49&amp;"*",'AJE1'!$O:$O)</f>
        <v>0</v>
      </c>
      <c r="L49" s="885">
        <f>SUMIF('AJE1'!$B:$B,$C49&amp;$D49&amp;"*",'AJE1'!$P:$P)</f>
        <v>0</v>
      </c>
      <c r="M49" s="891">
        <f t="shared" si="6"/>
        <v>2260.42</v>
      </c>
      <c r="N49" s="641"/>
      <c r="O49" s="641"/>
      <c r="P49" s="641"/>
      <c r="Q49" s="641"/>
      <c r="T49" s="3055">
        <v>1701</v>
      </c>
      <c r="U49" s="3062">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2">
        <v>2185457.56</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2">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2">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2">
        <v>20659.91</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2">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2">
        <v>2208377.89</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2">
        <v>8268812.3099999996</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2">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2185457.56</v>
      </c>
      <c r="K58" s="885">
        <f>SUMIF('AJE1'!$B:$B,$C58&amp;$D58&amp;"*",'AJE1'!$O:$O)</f>
        <v>0</v>
      </c>
      <c r="L58" s="885">
        <f>SUMIF('AJE1'!$B:$B,$C58&amp;$D58&amp;"*",'AJE1'!$P:$P)</f>
        <v>0</v>
      </c>
      <c r="M58" s="891">
        <f t="shared" si="6"/>
        <v>2185457.56</v>
      </c>
      <c r="N58" s="641"/>
      <c r="O58" s="641"/>
      <c r="P58" s="641"/>
      <c r="Q58" s="641"/>
      <c r="T58" s="3055">
        <v>2001</v>
      </c>
      <c r="U58" s="3062">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2">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2">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20659.91</v>
      </c>
      <c r="K61" s="885">
        <f>SUMIF('AJE1'!$B:$B,$C61&amp;$D61&amp;"*",'AJE1'!$O:$O)</f>
        <v>0</v>
      </c>
      <c r="L61" s="885">
        <f>SUMIF('AJE1'!$B:$B,$C61&amp;$D61&amp;"*",'AJE1'!$P:$P)</f>
        <v>0</v>
      </c>
      <c r="M61" s="891">
        <f t="shared" si="6"/>
        <v>20659.91</v>
      </c>
      <c r="N61" s="641"/>
      <c r="O61" s="641"/>
      <c r="P61" s="641"/>
      <c r="Q61" s="641"/>
      <c r="T61" s="3055">
        <v>2003</v>
      </c>
      <c r="U61" s="3062">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2">
        <v>0</v>
      </c>
    </row>
    <row r="63" spans="1:21"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2208377.89</v>
      </c>
      <c r="K63" s="891">
        <f t="shared" si="17"/>
        <v>0</v>
      </c>
      <c r="L63" s="891">
        <f t="shared" si="17"/>
        <v>0</v>
      </c>
      <c r="M63" s="891">
        <f t="shared" si="17"/>
        <v>2208377.89</v>
      </c>
      <c r="N63" s="641"/>
      <c r="O63" s="641"/>
      <c r="P63" s="641"/>
      <c r="Q63" s="641"/>
      <c r="T63" s="3055">
        <v>2115</v>
      </c>
      <c r="U63" s="3062">
        <v>0</v>
      </c>
    </row>
    <row r="64" spans="1:21" ht="18">
      <c r="A64" s="1648" t="str">
        <f t="shared" si="0"/>
        <v>＝</v>
      </c>
      <c r="B64" s="1647">
        <f t="shared" si="1"/>
        <v>0</v>
      </c>
      <c r="C64" s="1647">
        <f t="shared" si="2"/>
        <v>0</v>
      </c>
      <c r="D64" s="1659">
        <v>1999</v>
      </c>
      <c r="E64" s="890" t="str">
        <f t="shared" si="3"/>
        <v>资产</v>
      </c>
      <c r="F64" s="891">
        <f t="shared" ref="F64:M64" si="18">SUM(F35,F63)</f>
        <v>0</v>
      </c>
      <c r="G64" s="891">
        <f t="shared" si="18"/>
        <v>0</v>
      </c>
      <c r="H64" s="891">
        <f t="shared" si="18"/>
        <v>0</v>
      </c>
      <c r="I64" s="913">
        <f t="shared" si="18"/>
        <v>0</v>
      </c>
      <c r="J64" s="915">
        <f t="shared" si="18"/>
        <v>8268812.3099999996</v>
      </c>
      <c r="K64" s="891">
        <f t="shared" si="18"/>
        <v>0</v>
      </c>
      <c r="L64" s="891">
        <f t="shared" si="18"/>
        <v>0</v>
      </c>
      <c r="M64" s="891">
        <f t="shared" si="18"/>
        <v>8268812.3099999996</v>
      </c>
      <c r="N64" s="641"/>
      <c r="O64" s="641"/>
      <c r="P64" s="641"/>
      <c r="Q64" s="641"/>
      <c r="T64" s="3055">
        <v>2203</v>
      </c>
      <c r="U64" s="3062">
        <v>0</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5">
        <v>2201</v>
      </c>
      <c r="U65" s="3062">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2">
        <v>0</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2">
        <v>214017.93</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2">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2">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2">
        <v>1303107.67</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2">
        <v>236130.57</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0</v>
      </c>
      <c r="K72" s="885">
        <f>SUMIF('AJE1'!$B:$B,$C72&amp;$D72&amp;"*",'AJE1'!$O:$O)+SUMIF('AJE1'!$B:$B,"J2201*",'AJE1'!$O:$O)+SUMIF('AJE1'!$B:$B,"J2202*",'AJE1'!$O:$O)</f>
        <v>0</v>
      </c>
      <c r="L72" s="885">
        <f>SUMIF('AJE1'!$B:$B,$C72&amp;$D72&amp;"*",'AJE1'!$P:$P)+SUMIF('AJE1'!$B:$B,"J2201*",'AJE1'!$P:$P)+SUMIF('AJE1'!$B:$B,"J2202*",'AJE1'!$P:$P)</f>
        <v>0</v>
      </c>
      <c r="M72" s="891">
        <f t="shared" si="21"/>
        <v>0</v>
      </c>
      <c r="N72" s="641"/>
      <c r="O72" s="641"/>
      <c r="P72" s="641"/>
      <c r="Q72" s="641"/>
      <c r="T72" s="3055">
        <v>2246</v>
      </c>
      <c r="U72" s="3062">
        <v>7949525.4100000001</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2">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0</v>
      </c>
      <c r="K74" s="885">
        <f>SUMIF('AJE1'!$B:$B,$C74&amp;$D74&amp;"*",'AJE1'!$O:$O)</f>
        <v>0</v>
      </c>
      <c r="L74" s="885">
        <f>SUMIF('AJE1'!$B:$B,$C74&amp;$D74&amp;"*",'AJE1'!$P:$P)</f>
        <v>0</v>
      </c>
      <c r="M74" s="891">
        <f t="shared" si="21"/>
        <v>0</v>
      </c>
      <c r="N74" s="641"/>
      <c r="O74" s="641"/>
      <c r="P74" s="641"/>
      <c r="Q74" s="641"/>
      <c r="T74" s="3055">
        <v>2232</v>
      </c>
      <c r="U74" s="3062">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214017.93</v>
      </c>
      <c r="K75" s="885">
        <f>SUMIF('AJE1'!$B:$B,$C75&amp;$D75&amp;"*",'AJE1'!$O:$O)</f>
        <v>0</v>
      </c>
      <c r="L75" s="885">
        <f>SUMIF('AJE1'!$B:$B,$C75&amp;$D75&amp;"*",'AJE1'!$P:$P)</f>
        <v>0</v>
      </c>
      <c r="M75" s="891">
        <f t="shared" si="21"/>
        <v>214017.93</v>
      </c>
      <c r="N75" s="641"/>
      <c r="O75" s="641"/>
      <c r="P75" s="641"/>
      <c r="Q75" s="641"/>
      <c r="T75" s="3055">
        <v>2241</v>
      </c>
      <c r="U75" s="3062">
        <v>7949525.4100000001</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2">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2">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2">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2">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2">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1303107.67</v>
      </c>
      <c r="K81" s="885">
        <f>SUMIF('AJE1'!$B:$B,$C81&amp;$D81&amp;"*",'AJE1'!$O:$O)</f>
        <v>0</v>
      </c>
      <c r="L81" s="885">
        <f>SUMIF('AJE1'!$B:$B,$C81&amp;$D81&amp;"*",'AJE1'!$P:$P)</f>
        <v>0</v>
      </c>
      <c r="M81" s="891">
        <f t="shared" si="21"/>
        <v>1303107.67</v>
      </c>
      <c r="N81" s="641"/>
      <c r="O81" s="641"/>
      <c r="P81" s="641"/>
      <c r="Q81" s="641"/>
      <c r="T81" s="3055">
        <v>2395</v>
      </c>
      <c r="U81" s="3062">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236130.57</v>
      </c>
      <c r="K82" s="885">
        <f>SUMIF('AJE1'!$B:$B,$C82&amp;$D82&amp;"*",'AJE1'!$O:$O)</f>
        <v>0</v>
      </c>
      <c r="L82" s="885">
        <f>SUMIF('AJE1'!$B:$B,$C82&amp;$D82&amp;"*",'AJE1'!$P:$P)</f>
        <v>0</v>
      </c>
      <c r="M82" s="891">
        <f t="shared" si="21"/>
        <v>236130.57</v>
      </c>
      <c r="N82" s="641"/>
      <c r="O82" s="641"/>
      <c r="P82" s="641"/>
      <c r="Q82" s="641"/>
      <c r="T82" s="3055">
        <v>2396</v>
      </c>
      <c r="U82" s="3062">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7949525.4100000001</v>
      </c>
      <c r="K83" s="885">
        <f>SUMIF('AJE1'!$B:$B,"J2241*",'AJE1'!$O:$O)+SUMIF('AJE1'!$B:$B,"J2231*",'AJE1'!$O:$O)+SUMIF('AJE1'!$B:$B,"J2232*",'AJE1'!$O:$O)</f>
        <v>0</v>
      </c>
      <c r="L83" s="885">
        <f>SUMIF('AJE1'!$B:$B,"J2241*",'AJE1'!$P:$P)+SUMIF('AJE1'!$B:$B,"J2231*",'AJE1'!$P:$P)+SUMIF('AJE1'!$B:$B,"J2232*",'AJE1'!$P:$P)</f>
        <v>0</v>
      </c>
      <c r="M83" s="891">
        <f t="shared" si="21"/>
        <v>7949525.4100000001</v>
      </c>
      <c r="N83" s="641"/>
      <c r="O83" s="641"/>
      <c r="P83" s="641"/>
      <c r="Q83" s="641"/>
      <c r="T83" s="3055">
        <v>2498</v>
      </c>
      <c r="U83" s="3062">
        <v>9702781.5800000001</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2"/>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2">
        <v>0</v>
      </c>
    </row>
    <row r="86" spans="1:21" ht="18">
      <c r="A86" s="1648">
        <f t="shared" si="0"/>
        <v>0</v>
      </c>
      <c r="B86" s="1647">
        <f t="shared" si="1"/>
        <v>-1</v>
      </c>
      <c r="C86" s="1647" t="str">
        <f t="shared" si="2"/>
        <v>J</v>
      </c>
      <c r="D86" s="1659">
        <v>2241</v>
      </c>
      <c r="E86" s="2188" t="str">
        <f t="shared" si="3"/>
        <v>其他应付款</v>
      </c>
      <c r="F86" s="884">
        <f t="shared" si="19"/>
        <v>0</v>
      </c>
      <c r="G86" s="885">
        <f>SUMIF(AJE!$B:$B,$C86&amp;$D86&amp;"*",AJE!$O:$O)</f>
        <v>0</v>
      </c>
      <c r="H86" s="885">
        <f>SUMIF(AJE!$B:$B,$C86&amp;$D86&amp;"*",AJE!$P:$P)</f>
        <v>0</v>
      </c>
      <c r="I86" s="913">
        <f t="shared" si="22"/>
        <v>0</v>
      </c>
      <c r="J86" s="914">
        <f t="shared" si="20"/>
        <v>7949525.4100000001</v>
      </c>
      <c r="K86" s="885">
        <f>SUMIF('AJE1'!$B:$B,$C86&amp;$D86&amp;"*",'AJE1'!$O:$O)</f>
        <v>0</v>
      </c>
      <c r="L86" s="885">
        <f>SUMIF('AJE1'!$B:$B,$C86&amp;$D86&amp;"*",'AJE1'!$P:$P)</f>
        <v>0</v>
      </c>
      <c r="M86" s="891">
        <f t="shared" si="21"/>
        <v>7949525.4100000001</v>
      </c>
      <c r="N86" s="641"/>
      <c r="O86" s="641"/>
      <c r="P86" s="641"/>
      <c r="Q86" s="641"/>
      <c r="T86" s="3055">
        <v>2502</v>
      </c>
      <c r="U86" s="3062">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2">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2">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2">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2">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2">
        <v>0</v>
      </c>
    </row>
    <row r="92" spans="1:21" ht="18">
      <c r="A92" s="1648" t="str">
        <f t="shared" si="0"/>
        <v>＝</v>
      </c>
      <c r="B92" s="1647">
        <f t="shared" si="1"/>
        <v>0</v>
      </c>
      <c r="C92" s="1647">
        <f t="shared" si="2"/>
        <v>0</v>
      </c>
      <c r="D92" s="2186">
        <v>2498</v>
      </c>
      <c r="E92" s="2187" t="str">
        <f t="shared" si="3"/>
        <v>流动负债</v>
      </c>
      <c r="F92" s="884">
        <f>SUM(F66:F91)-SUM(F72,F84,F85,F86)</f>
        <v>0</v>
      </c>
      <c r="G92" s="885">
        <f t="shared" ref="G92:M92" si="25">SUM(G66:G91)-SUM(G72,G84,G85,G86)</f>
        <v>0</v>
      </c>
      <c r="H92" s="885">
        <f t="shared" si="25"/>
        <v>0</v>
      </c>
      <c r="I92" s="913">
        <f t="shared" si="25"/>
        <v>0</v>
      </c>
      <c r="J92" s="914">
        <f t="shared" si="25"/>
        <v>9702781.5800000001</v>
      </c>
      <c r="K92" s="885">
        <f t="shared" si="25"/>
        <v>0</v>
      </c>
      <c r="L92" s="885">
        <f t="shared" si="25"/>
        <v>0</v>
      </c>
      <c r="M92" s="891">
        <f t="shared" si="25"/>
        <v>9702781.5800000001</v>
      </c>
      <c r="N92" s="641"/>
      <c r="O92" s="641"/>
      <c r="P92" s="641"/>
      <c r="Q92" s="641"/>
      <c r="T92" s="3055">
        <v>2715</v>
      </c>
      <c r="U92" s="3062">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5">
        <v>2801</v>
      </c>
      <c r="U93" s="3062">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2">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2">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2">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2">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2">
        <v>9702781.5800000001</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2"/>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2">
        <v>1000000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2">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2">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2">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2">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2">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2">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2">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2">
        <v>0</v>
      </c>
    </row>
    <row r="109" spans="1:21" ht="18">
      <c r="A109" s="1648" t="str">
        <f t="shared" si="26"/>
        <v>＝</v>
      </c>
      <c r="B109" s="1647">
        <f t="shared" si="27"/>
        <v>0</v>
      </c>
      <c r="C109" s="1647">
        <f t="shared" si="28"/>
        <v>0</v>
      </c>
      <c r="D109" s="2186">
        <v>2999</v>
      </c>
      <c r="E109" s="2187" t="str">
        <f t="shared" si="29"/>
        <v>负债</v>
      </c>
      <c r="F109" s="884">
        <f t="shared" ref="F109:M109" si="33">SUM(F92,F108)</f>
        <v>0</v>
      </c>
      <c r="G109" s="885">
        <f t="shared" si="33"/>
        <v>0</v>
      </c>
      <c r="H109" s="885">
        <f t="shared" si="33"/>
        <v>0</v>
      </c>
      <c r="I109" s="913">
        <f t="shared" si="33"/>
        <v>0</v>
      </c>
      <c r="J109" s="914">
        <f t="shared" si="33"/>
        <v>9702781.5800000001</v>
      </c>
      <c r="K109" s="885">
        <f t="shared" si="33"/>
        <v>0</v>
      </c>
      <c r="L109" s="885">
        <f t="shared" si="33"/>
        <v>0</v>
      </c>
      <c r="M109" s="891">
        <f t="shared" si="33"/>
        <v>9702781.5800000001</v>
      </c>
      <c r="N109" s="641"/>
      <c r="O109" s="641"/>
      <c r="P109" s="641"/>
      <c r="Q109" s="641"/>
      <c r="T109" s="3055">
        <v>4102</v>
      </c>
      <c r="U109" s="3062">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5">
        <v>4200</v>
      </c>
      <c r="U110" s="3062">
        <v>-2433969.27</v>
      </c>
    </row>
    <row r="111" spans="1:21"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1000000</v>
      </c>
      <c r="K111" s="885">
        <f>SUMIF('AJE1'!$B:$B,$C111&amp;"81*",'AJE1'!$O:$O)</f>
        <v>0</v>
      </c>
      <c r="L111" s="885">
        <f>SUMIF('AJE1'!$B:$B,$C111&amp;"81*",'AJE1'!$P:$P)</f>
        <v>0</v>
      </c>
      <c r="M111" s="891">
        <f t="shared" si="21"/>
        <v>1000000</v>
      </c>
      <c r="N111" s="641"/>
      <c r="O111" s="641"/>
      <c r="P111" s="641"/>
      <c r="Q111" s="641"/>
      <c r="T111" s="3055">
        <v>4210</v>
      </c>
      <c r="U111" s="3063">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2">
        <v>-1433969.27</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2">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2">
        <v>-1433969.27</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2">
        <v>8268812.3099999996</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2"/>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2">
        <v>10519044.27</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2">
        <v>10519044.27</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5">
        <v>6011</v>
      </c>
      <c r="U119" s="3062">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2">
        <v>0</v>
      </c>
    </row>
    <row r="121" spans="1:21" ht="18">
      <c r="A121" s="1648">
        <f t="shared" si="26"/>
        <v>0</v>
      </c>
      <c r="B121" s="1647">
        <f t="shared" si="27"/>
        <v>-1</v>
      </c>
      <c r="C121" s="1647" t="str">
        <f t="shared" si="28"/>
        <v>J</v>
      </c>
      <c r="D121" s="2186">
        <v>4200</v>
      </c>
      <c r="E121" s="2187" t="str">
        <f t="shared" si="29"/>
        <v>未分配利润</v>
      </c>
      <c r="F121" s="884">
        <f t="shared" si="19"/>
        <v>1747379.72</v>
      </c>
      <c r="G121" s="885">
        <f>SUMIF(AJE!$B:$B,$C121&amp;"87*",AJE!$O:$O)+VLOOKUP(6799,Sheet_Trialbal,4,0)</f>
        <v>0</v>
      </c>
      <c r="H121" s="885">
        <f>SUMIF(AJE!$B:$B,$C121&amp;"87*",AJE!$P:$P)+VLOOKUP(6799,Sheet_Trialbal,5,0)</f>
        <v>0</v>
      </c>
      <c r="I121" s="913">
        <f t="shared" si="34"/>
        <v>1747379.72</v>
      </c>
      <c r="J121" s="914">
        <f t="shared" si="20"/>
        <v>-2433969.27</v>
      </c>
      <c r="K121" s="885">
        <f>SUMIF('AJE1'!$B:$B,$C121&amp;"87*",'AJE1'!$O:$O)+VLOOKUP(6799,Sheet_Trialbal,8,0)</f>
        <v>0</v>
      </c>
      <c r="L121" s="885">
        <f>SUMIF('AJE1'!$B:$B,$C121&amp;"87*",'AJE1'!$P:$P)+VLOOKUP(6799,Sheet_Trialbal,9,0)</f>
        <v>0</v>
      </c>
      <c r="M121" s="891">
        <f t="shared" si="21"/>
        <v>-2433969.27</v>
      </c>
      <c r="N121" s="641"/>
      <c r="O121" s="641"/>
      <c r="P121" s="641"/>
      <c r="Q121" s="641"/>
      <c r="T121" s="3055">
        <v>6021</v>
      </c>
      <c r="U121" s="3062">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1747379.72</v>
      </c>
      <c r="G122" s="919">
        <f>SUM(G111:G112,G115:G121)</f>
        <v>0</v>
      </c>
      <c r="H122" s="919">
        <f>SUM(H111:H112,H115:H121)</f>
        <v>0</v>
      </c>
      <c r="I122" s="913">
        <f>SUM(I111:I112,I115,-I116,I117:I121)</f>
        <v>1747379.72</v>
      </c>
      <c r="J122" s="914">
        <f>SUM(J111:J112,J115,-J116,J117:J121)</f>
        <v>-1433969.27</v>
      </c>
      <c r="K122" s="919">
        <f>SUM(K111:K112,K115:K121)</f>
        <v>0</v>
      </c>
      <c r="L122" s="919">
        <f>SUM(L111:L112,L115:L121)</f>
        <v>0</v>
      </c>
      <c r="M122" s="891">
        <f>SUM(M111:M112,M115,-M116,M117:M121)</f>
        <v>-1433969.27</v>
      </c>
      <c r="N122" s="641"/>
      <c r="O122" s="641"/>
      <c r="P122" s="641"/>
      <c r="Q122" s="641"/>
      <c r="T122" s="3055">
        <v>6598</v>
      </c>
      <c r="U122" s="3062">
        <v>5016973.0999999996</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2">
        <v>4316544.09</v>
      </c>
    </row>
    <row r="124" spans="1:21" ht="18">
      <c r="A124" s="1648" t="str">
        <f t="shared" si="26"/>
        <v>＝</v>
      </c>
      <c r="B124" s="1647">
        <f t="shared" si="27"/>
        <v>0</v>
      </c>
      <c r="C124" s="1647">
        <f t="shared" si="28"/>
        <v>0</v>
      </c>
      <c r="D124" s="2186">
        <v>4999</v>
      </c>
      <c r="E124" s="2187" t="str">
        <f t="shared" si="29"/>
        <v>所有者权益</v>
      </c>
      <c r="F124" s="884">
        <f t="shared" ref="F124:M124" si="35">SUM(F122:F123)</f>
        <v>1747379.72</v>
      </c>
      <c r="G124" s="885">
        <f t="shared" si="35"/>
        <v>0</v>
      </c>
      <c r="H124" s="885">
        <f t="shared" si="35"/>
        <v>0</v>
      </c>
      <c r="I124" s="913">
        <f t="shared" si="35"/>
        <v>1747379.72</v>
      </c>
      <c r="J124" s="914">
        <f t="shared" si="35"/>
        <v>-1433969.27</v>
      </c>
      <c r="K124" s="885">
        <f t="shared" si="35"/>
        <v>0</v>
      </c>
      <c r="L124" s="885">
        <f t="shared" si="35"/>
        <v>0</v>
      </c>
      <c r="M124" s="891">
        <f t="shared" si="35"/>
        <v>-1433969.27</v>
      </c>
      <c r="N124" s="641"/>
      <c r="O124" s="641"/>
      <c r="P124" s="641"/>
      <c r="Q124" s="641"/>
      <c r="T124" s="3055">
        <v>6411</v>
      </c>
      <c r="U124" s="3062">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1747379.72</v>
      </c>
      <c r="G125" s="885">
        <f t="shared" si="36"/>
        <v>0</v>
      </c>
      <c r="H125" s="885">
        <f t="shared" si="36"/>
        <v>0</v>
      </c>
      <c r="I125" s="913">
        <f t="shared" si="36"/>
        <v>1747379.72</v>
      </c>
      <c r="J125" s="914">
        <f t="shared" si="36"/>
        <v>8268812.3099999996</v>
      </c>
      <c r="K125" s="885">
        <f t="shared" si="36"/>
        <v>0</v>
      </c>
      <c r="L125" s="885">
        <f t="shared" si="36"/>
        <v>0</v>
      </c>
      <c r="M125" s="891">
        <f t="shared" si="36"/>
        <v>8268812.3099999996</v>
      </c>
      <c r="N125" s="641"/>
      <c r="O125" s="641"/>
      <c r="P125" s="641"/>
      <c r="Q125" s="641"/>
      <c r="T125" s="3055">
        <v>6421</v>
      </c>
      <c r="U125" s="3062">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5">
        <v>6531</v>
      </c>
      <c r="U126" s="3062">
        <v>0</v>
      </c>
    </row>
    <row r="127" spans="1:21" ht="18">
      <c r="A127" s="1648" t="str">
        <f t="shared" si="26"/>
        <v>※</v>
      </c>
      <c r="B127" s="1647">
        <f t="shared" si="27"/>
        <v>0</v>
      </c>
      <c r="C127" s="1647">
        <f t="shared" si="28"/>
        <v>0</v>
      </c>
      <c r="D127" s="2186">
        <v>6098</v>
      </c>
      <c r="E127" s="2187" t="str">
        <f t="shared" si="29"/>
        <v>营业总收入</v>
      </c>
      <c r="F127" s="884">
        <f t="shared" ref="F127:M127" si="37">SUM(F128:F131)</f>
        <v>2189820.39</v>
      </c>
      <c r="G127" s="885">
        <f t="shared" si="37"/>
        <v>0</v>
      </c>
      <c r="H127" s="885">
        <f t="shared" si="37"/>
        <v>0</v>
      </c>
      <c r="I127" s="913">
        <f t="shared" si="37"/>
        <v>2189820.39</v>
      </c>
      <c r="J127" s="914">
        <f t="shared" si="37"/>
        <v>10519044.27</v>
      </c>
      <c r="K127" s="885">
        <f t="shared" si="37"/>
        <v>0</v>
      </c>
      <c r="L127" s="885">
        <f t="shared" si="37"/>
        <v>0</v>
      </c>
      <c r="M127" s="891">
        <f t="shared" si="37"/>
        <v>10519044.27</v>
      </c>
      <c r="N127" s="641"/>
      <c r="O127" s="641"/>
      <c r="P127" s="641"/>
      <c r="Q127" s="641"/>
      <c r="T127" s="3055">
        <v>6510</v>
      </c>
      <c r="U127" s="3062">
        <v>0</v>
      </c>
    </row>
    <row r="128" spans="1:21" ht="18">
      <c r="A128" s="1648">
        <f t="shared" si="26"/>
        <v>0</v>
      </c>
      <c r="B128" s="1647">
        <f t="shared" si="27"/>
        <v>-1</v>
      </c>
      <c r="C128" s="1647" t="str">
        <f t="shared" si="28"/>
        <v>J</v>
      </c>
      <c r="D128" s="1659">
        <v>6001</v>
      </c>
      <c r="E128" s="888" t="str">
        <f t="shared" si="29"/>
        <v>营业收入</v>
      </c>
      <c r="F128" s="884">
        <f>VLOOKUP($D128,Sheet_Preis,4,0)</f>
        <v>2189820.39</v>
      </c>
      <c r="G128" s="885">
        <f>SUMIF(AJE!$B:$B,$C128&amp;$D128&amp;"*",AJE!$O:$O)</f>
        <v>0</v>
      </c>
      <c r="H128" s="885">
        <f>SUMIF(AJE!$B:$B,$C128&amp;$D128&amp;"*",AJE!$P:$P)</f>
        <v>0</v>
      </c>
      <c r="I128" s="913">
        <f t="shared" ref="I128:I169" si="38">(B128*F128+G128-H128)*B128</f>
        <v>2189820.39</v>
      </c>
      <c r="J128" s="914">
        <f>VLOOKUP($D128,Sheet_Preis,5,0)</f>
        <v>10519044.27</v>
      </c>
      <c r="K128" s="885">
        <f>SUMIF('AJE1'!$B:$B,$C128&amp;$D128&amp;"*",'AJE1'!$O:$O)</f>
        <v>0</v>
      </c>
      <c r="L128" s="885">
        <f>SUMIF('AJE1'!$B:$B,$C128&amp;$D128&amp;"*",'AJE1'!$P:$P)</f>
        <v>0</v>
      </c>
      <c r="M128" s="891">
        <f t="shared" ref="M128:M169" si="39">($B128*J128+K128-L128)*$B128</f>
        <v>10519044.27</v>
      </c>
      <c r="N128" s="641"/>
      <c r="O128" s="641"/>
      <c r="P128" s="641"/>
      <c r="Q128" s="641"/>
      <c r="T128" s="3055">
        <v>6505</v>
      </c>
      <c r="U128" s="3062">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2">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2">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2">
        <v>42462.27</v>
      </c>
    </row>
    <row r="132" spans="1:21" ht="18">
      <c r="A132" s="1648" t="str">
        <f t="shared" si="26"/>
        <v>※</v>
      </c>
      <c r="B132" s="1647">
        <f t="shared" si="27"/>
        <v>0</v>
      </c>
      <c r="C132" s="1647">
        <f t="shared" si="28"/>
        <v>0</v>
      </c>
      <c r="D132" s="2186">
        <v>6598</v>
      </c>
      <c r="E132" s="2187" t="str">
        <f t="shared" si="29"/>
        <v>营业总成本</v>
      </c>
      <c r="F132" s="884">
        <f>SUM(F133:F145)</f>
        <v>1578215.32</v>
      </c>
      <c r="G132" s="885">
        <f>SUM(G133:G145)</f>
        <v>0</v>
      </c>
      <c r="H132" s="885">
        <f t="shared" ref="H132:M132" si="40">SUM(H133:H145)</f>
        <v>0</v>
      </c>
      <c r="I132" s="913">
        <f t="shared" si="40"/>
        <v>1578215.32</v>
      </c>
      <c r="J132" s="914">
        <f t="shared" si="40"/>
        <v>4980985.95</v>
      </c>
      <c r="K132" s="885">
        <f t="shared" si="40"/>
        <v>0</v>
      </c>
      <c r="L132" s="885">
        <f t="shared" si="40"/>
        <v>0</v>
      </c>
      <c r="M132" s="891">
        <f t="shared" si="40"/>
        <v>4980985.95</v>
      </c>
      <c r="N132" s="641"/>
      <c r="O132" s="641"/>
      <c r="P132" s="641"/>
      <c r="Q132" s="641"/>
      <c r="T132" s="3055">
        <v>6601</v>
      </c>
      <c r="U132" s="3062">
        <v>494261.11</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1009661.4</v>
      </c>
      <c r="G133" s="885">
        <f>SUMIF(AJE!$B:$B,$C133&amp;$D133&amp;"*",AJE!$O:$O)</f>
        <v>0</v>
      </c>
      <c r="H133" s="885">
        <f>SUMIF(AJE!$B:$B,$C133&amp;$D133&amp;"*",AJE!$P:$P)</f>
        <v>0</v>
      </c>
      <c r="I133" s="913">
        <f t="shared" si="38"/>
        <v>1009661.4</v>
      </c>
      <c r="J133" s="914">
        <f t="shared" ref="J133:J157" si="42">VLOOKUP($D133,Sheet_Preis,5,0)</f>
        <v>4316544.09</v>
      </c>
      <c r="K133" s="885">
        <f>SUMIF('AJE1'!$B:$B,$C133&amp;$D133&amp;"*",'AJE1'!$O:$O)</f>
        <v>0</v>
      </c>
      <c r="L133" s="885">
        <f>SUMIF('AJE1'!$B:$B,$C133&amp;$D133&amp;"*",'AJE1'!$P:$P)</f>
        <v>0</v>
      </c>
      <c r="M133" s="891">
        <f t="shared" si="39"/>
        <v>4316544.09</v>
      </c>
      <c r="N133" s="641"/>
      <c r="O133" s="641"/>
      <c r="P133" s="641"/>
      <c r="Q133" s="641"/>
      <c r="T133" s="3055">
        <v>6602</v>
      </c>
      <c r="U133" s="3062">
        <v>6359.38</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2">
        <v>121122.15</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2">
        <v>236.95</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2">
        <v>975.88</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2">
        <v>-644.88</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2">
        <v>35987.15</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2">
        <v>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2">
        <v>0</v>
      </c>
    </row>
    <row r="141" spans="1:21" ht="18">
      <c r="A141" s="1648">
        <f t="shared" si="26"/>
        <v>0</v>
      </c>
      <c r="B141" s="1647">
        <f t="shared" si="27"/>
        <v>1</v>
      </c>
      <c r="C141" s="1647" t="str">
        <f t="shared" si="28"/>
        <v>J</v>
      </c>
      <c r="D141" s="1659">
        <v>6600</v>
      </c>
      <c r="E141" s="888" t="str">
        <f t="shared" si="29"/>
        <v>税金及附加</v>
      </c>
      <c r="F141" s="884">
        <f t="shared" si="41"/>
        <v>147093.37</v>
      </c>
      <c r="G141" s="885">
        <f>SUMIF(AJE!$B:$B,$C141&amp;$D141&amp;"*",AJE!$O:$O)</f>
        <v>0</v>
      </c>
      <c r="H141" s="885">
        <f>SUMIF(AJE!$B:$B,$C141&amp;$D141&amp;"*",AJE!$P:$P)</f>
        <v>0</v>
      </c>
      <c r="I141" s="913">
        <f t="shared" si="38"/>
        <v>147093.37</v>
      </c>
      <c r="J141" s="914">
        <f t="shared" si="42"/>
        <v>42462.27</v>
      </c>
      <c r="K141" s="885">
        <f>SUMIF('AJE1'!$B:$B,$C141&amp;$D141&amp;"*",'AJE1'!$O:$O)</f>
        <v>0</v>
      </c>
      <c r="L141" s="885">
        <f>SUMIF('AJE1'!$B:$B,$C141&amp;$D141&amp;"*",'AJE1'!$P:$P)</f>
        <v>0</v>
      </c>
      <c r="M141" s="891">
        <f t="shared" si="39"/>
        <v>42462.27</v>
      </c>
      <c r="N141" s="641"/>
      <c r="O141" s="641"/>
      <c r="P141" s="641"/>
      <c r="Q141" s="641"/>
      <c r="T141" s="3057">
        <v>6111.01</v>
      </c>
      <c r="U141" s="3062">
        <v>0</v>
      </c>
    </row>
    <row r="142" spans="1:21"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494261.11</v>
      </c>
      <c r="K142" s="885">
        <f>SUMIF('AJE1'!$B:$B,$C142&amp;$D142&amp;"*",'AJE1'!$O:$O)</f>
        <v>0</v>
      </c>
      <c r="L142" s="885">
        <f>SUMIF('AJE1'!$B:$B,$C142&amp;$D142&amp;"*",'AJE1'!$P:$P)</f>
        <v>0</v>
      </c>
      <c r="M142" s="891">
        <f t="shared" si="39"/>
        <v>494261.11</v>
      </c>
      <c r="N142" s="641"/>
      <c r="O142" s="641"/>
      <c r="P142" s="641"/>
      <c r="Q142" s="641"/>
      <c r="T142" s="3055">
        <v>6161</v>
      </c>
      <c r="U142" s="3062">
        <v>0</v>
      </c>
    </row>
    <row r="143" spans="1:21" ht="18">
      <c r="A143" s="1648">
        <f t="shared" si="26"/>
        <v>0</v>
      </c>
      <c r="B143" s="1647">
        <f t="shared" si="27"/>
        <v>1</v>
      </c>
      <c r="C143" s="1647" t="str">
        <f t="shared" si="28"/>
        <v>J</v>
      </c>
      <c r="D143" s="1659">
        <v>6602</v>
      </c>
      <c r="E143" s="888" t="str">
        <f t="shared" si="29"/>
        <v>管理费用</v>
      </c>
      <c r="F143" s="884">
        <f t="shared" si="41"/>
        <v>419878.21</v>
      </c>
      <c r="G143" s="885">
        <f>SUMIF(AJE!$B:$B,$C143&amp;$D143&amp;"*",AJE!$O:$O)</f>
        <v>0</v>
      </c>
      <c r="H143" s="885">
        <f>SUMIF(AJE!$B:$B,$C143&amp;$D143&amp;"*",AJE!$P:$P)</f>
        <v>0</v>
      </c>
      <c r="I143" s="913">
        <f t="shared" si="38"/>
        <v>419878.21</v>
      </c>
      <c r="J143" s="914">
        <f t="shared" si="42"/>
        <v>6359.38</v>
      </c>
      <c r="K143" s="885">
        <f>SUMIF('AJE1'!$B:$B,$C143&amp;$D143&amp;"*",'AJE1'!$O:$O)</f>
        <v>0</v>
      </c>
      <c r="L143" s="885">
        <f>SUMIF('AJE1'!$B:$B,$C143&amp;$D143&amp;"*",'AJE1'!$P:$P)</f>
        <v>0</v>
      </c>
      <c r="M143" s="891">
        <f t="shared" si="39"/>
        <v>6359.38</v>
      </c>
      <c r="N143" s="641"/>
      <c r="O143" s="641"/>
      <c r="P143" s="641"/>
      <c r="Q143" s="641"/>
      <c r="T143" s="3055">
        <v>6101</v>
      </c>
      <c r="U143" s="3062">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121122.15</v>
      </c>
      <c r="K144" s="885">
        <f>SUMIF('AJE1'!$B:$B,$C144&amp;$D144&amp;"*",'AJE1'!$O:$O)</f>
        <v>0</v>
      </c>
      <c r="L144" s="885">
        <f>SUMIF('AJE1'!$B:$B,$C144&amp;$D144&amp;"*",'AJE1'!$P:$P)</f>
        <v>0</v>
      </c>
      <c r="M144" s="891">
        <f t="shared" si="39"/>
        <v>121122.15</v>
      </c>
      <c r="N144" s="641"/>
      <c r="O144" s="641"/>
      <c r="P144" s="641"/>
      <c r="Q144" s="641"/>
      <c r="T144" s="3055">
        <v>6171</v>
      </c>
      <c r="U144" s="3062">
        <v>0</v>
      </c>
    </row>
    <row r="145" spans="1:21" ht="18">
      <c r="A145" s="1648">
        <f t="shared" si="26"/>
        <v>0</v>
      </c>
      <c r="B145" s="1647">
        <f t="shared" si="27"/>
        <v>1</v>
      </c>
      <c r="C145" s="1647" t="str">
        <f t="shared" si="28"/>
        <v>J</v>
      </c>
      <c r="D145" s="1659">
        <v>6603</v>
      </c>
      <c r="E145" s="888" t="str">
        <f t="shared" si="29"/>
        <v>财务费用</v>
      </c>
      <c r="F145" s="884">
        <f t="shared" si="41"/>
        <v>1582.34</v>
      </c>
      <c r="G145" s="885">
        <f>SUMIF(AJE!$B:$B,$C145&amp;$D145&amp;"*",AJE!$O:$O)</f>
        <v>0</v>
      </c>
      <c r="H145" s="885">
        <f>SUMIF(AJE!$B:$B,$C145&amp;$D145&amp;"*",AJE!$P:$P)</f>
        <v>0</v>
      </c>
      <c r="I145" s="913">
        <f t="shared" si="38"/>
        <v>1582.34</v>
      </c>
      <c r="J145" s="914">
        <f t="shared" si="42"/>
        <v>236.95</v>
      </c>
      <c r="K145" s="885">
        <f>SUMIF('AJE1'!$B:$B,$C145&amp;$D145&amp;"*",'AJE1'!$O:$O)</f>
        <v>0</v>
      </c>
      <c r="L145" s="885">
        <f>SUMIF('AJE1'!$B:$B,$C145&amp;$D145&amp;"*",'AJE1'!$P:$P)</f>
        <v>0</v>
      </c>
      <c r="M145" s="891">
        <f t="shared" si="39"/>
        <v>236.95</v>
      </c>
      <c r="N145" s="641"/>
      <c r="O145" s="641"/>
      <c r="P145" s="641"/>
      <c r="Q145" s="641"/>
      <c r="T145" s="3055">
        <v>6689</v>
      </c>
      <c r="U145" s="3062">
        <v>5502071.1699999999</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975.88</v>
      </c>
      <c r="K146" s="885">
        <f>SUMIF('AJE1'!$B:$B,$C146&amp;$D146&amp;"*",'AJE1'!$O:$O)</f>
        <v>0</v>
      </c>
      <c r="L146" s="885">
        <f>SUMIF('AJE1'!$B:$B,$C146&amp;$D146&amp;"*",'AJE1'!$P:$P)</f>
        <v>0</v>
      </c>
      <c r="M146" s="891">
        <f t="shared" si="39"/>
        <v>975.88</v>
      </c>
      <c r="N146" s="641"/>
      <c r="O146" s="641"/>
      <c r="P146" s="641"/>
      <c r="Q146" s="641"/>
      <c r="T146" s="3055">
        <v>6710</v>
      </c>
      <c r="U146" s="3062">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-519.74</v>
      </c>
      <c r="G147" s="885">
        <f>SUMIF(AJE!$B:$B,$C147&amp;$D147&amp;"*",AJE!$O:$O)</f>
        <v>0</v>
      </c>
      <c r="H147" s="885">
        <f>SUMIF(AJE!$B:$B,$C147&amp;$D147&amp;"*",AJE!$P:$P)</f>
        <v>0</v>
      </c>
      <c r="I147" s="913">
        <f t="shared" si="38"/>
        <v>-519.74</v>
      </c>
      <c r="J147" s="914">
        <f>VLOOKUP($D147,Sheet_Preis,5,0)</f>
        <v>-644.88</v>
      </c>
      <c r="K147" s="885">
        <f>SUMIF('AJE1'!$B:$B,$C147&amp;$D147&amp;"*",'AJE1'!$O:$O)</f>
        <v>0</v>
      </c>
      <c r="L147" s="885">
        <f>SUMIF('AJE1'!$B:$B,$C147&amp;$D147&amp;"*",'AJE1'!$P:$P)</f>
        <v>0</v>
      </c>
      <c r="M147" s="891">
        <f t="shared" si="39"/>
        <v>-644.88</v>
      </c>
      <c r="N147" s="641"/>
      <c r="O147" s="641"/>
      <c r="P147" s="641"/>
      <c r="Q147" s="641"/>
      <c r="T147" s="3055">
        <v>6711</v>
      </c>
      <c r="U147" s="3062">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41615.08</v>
      </c>
      <c r="G148" s="885">
        <f>SUMIF(AJE!$B:$B,$C148&amp;$D148&amp;"*",AJE!$O:$O)</f>
        <v>0</v>
      </c>
      <c r="H148" s="885">
        <f>SUMIF(AJE!$B:$B,$C148&amp;$D148&amp;"*",AJE!$P:$P)</f>
        <v>0</v>
      </c>
      <c r="I148" s="913">
        <f t="shared" si="38"/>
        <v>41615.08</v>
      </c>
      <c r="J148" s="914">
        <f>VLOOKUP($D148,Sheet_Preis,5,0)</f>
        <v>0</v>
      </c>
      <c r="K148" s="885">
        <f>SUMIF('AJE1'!$B:$B,$C148&amp;$D148&amp;"*",'AJE1'!$O:$O)</f>
        <v>0</v>
      </c>
      <c r="L148" s="885">
        <f>SUMIF('AJE1'!$B:$B,$C148&amp;$D148&amp;"*",'AJE1'!$P:$P)</f>
        <v>0</v>
      </c>
      <c r="M148" s="891">
        <f t="shared" si="39"/>
        <v>0</v>
      </c>
      <c r="N148" s="641"/>
      <c r="O148" s="641"/>
      <c r="P148" s="641"/>
      <c r="Q148" s="641"/>
      <c r="T148" s="3055">
        <v>6788</v>
      </c>
      <c r="U148" s="3062">
        <v>5502071.1699999999</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2">
        <v>38389.24</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2">
        <v>5463681.9299999997</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3"/>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3"/>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3"/>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2"/>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4831.16</v>
      </c>
      <c r="G155" s="885">
        <f>SUMIF(AJE!$B:$B,$C155&amp;$D155&amp;"*",AJE!$O:$O)</f>
        <v>0</v>
      </c>
      <c r="H155" s="885">
        <f>SUMIF(AJE!$B:$B,$C155&amp;$D155&amp;"*",AJE!$P:$P)</f>
        <v>0</v>
      </c>
      <c r="I155" s="913">
        <f t="shared" ref="I155:I157" si="47">(B155*F155+G155-H155)*B155</f>
        <v>4831.16</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2">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-35987.15</v>
      </c>
      <c r="K156" s="885">
        <f>SUMIF('AJE1'!$B:$B,$C156&amp;$D156&amp;"*",'AJE1'!$O:$O)</f>
        <v>0</v>
      </c>
      <c r="L156" s="885">
        <f>SUMIF('AJE1'!$B:$B,$C156&amp;$D156&amp;"*",'AJE1'!$P:$P)</f>
        <v>0</v>
      </c>
      <c r="M156" s="891">
        <f t="shared" si="48"/>
        <v>-35987.15</v>
      </c>
      <c r="N156" s="641"/>
      <c r="O156" s="641"/>
      <c r="P156" s="641"/>
      <c r="Q156" s="641"/>
      <c r="T156" s="3055">
        <v>6811</v>
      </c>
      <c r="U156" s="3062">
        <v>5463681.9299999997</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2">
        <v>0</v>
      </c>
    </row>
    <row r="158" spans="1:21" ht="18">
      <c r="A158" s="1648" t="str">
        <f t="shared" si="26"/>
        <v>＝</v>
      </c>
      <c r="B158" s="1647">
        <f t="shared" si="27"/>
        <v>0</v>
      </c>
      <c r="C158" s="1647">
        <f t="shared" si="28"/>
        <v>0</v>
      </c>
      <c r="D158" s="2186">
        <v>6689</v>
      </c>
      <c r="E158" s="2187" t="str">
        <f t="shared" si="29"/>
        <v>营业利润</v>
      </c>
      <c r="F158" s="884">
        <f>SUM(F128:F131)-SUM(F133:F145)+SUM(F148:F157)-SUM(F150,F151)</f>
        <v>658051.31000000006</v>
      </c>
      <c r="G158" s="919">
        <f>SUM(G128:G131)+SUM(G133:G145)+SUM(G148:G157)-SUM(G150,G151)</f>
        <v>0</v>
      </c>
      <c r="H158" s="919">
        <f>SUM(H128:H131)+SUM(H133:H145)+SUM(H148:H157)-SUM(H150,H151)</f>
        <v>0</v>
      </c>
      <c r="I158" s="913">
        <f>SUM(I128:I131)-SUM(I133:I145)+SUM(I148:I157)-SUM(I150,I151)</f>
        <v>658051.31000000006</v>
      </c>
      <c r="J158" s="914">
        <f>SUM(J128:J131)-SUM(J133:J145)+SUM(J148:J157)-SUM(J150,J151)</f>
        <v>5502071.1699999999</v>
      </c>
      <c r="K158" s="919">
        <f>SUM(K128:K131)+SUM(K133:K145)+SUM(K148:K157)-SUM(K150,K151)</f>
        <v>0</v>
      </c>
      <c r="L158" s="919">
        <f>SUM(L128:L131)+SUM(L133:L145)+SUM(L148:L157)-SUM(L150,L151)</f>
        <v>0</v>
      </c>
      <c r="M158" s="891">
        <f>SUM(M128:M131)-SUM(M133:M145)+SUM(M148:M157)-SUM(M150,M151)</f>
        <v>5502071.1699999999</v>
      </c>
      <c r="N158" s="641"/>
      <c r="O158" s="641"/>
      <c r="P158" s="641"/>
      <c r="Q158" s="641"/>
      <c r="T158" s="3059">
        <v>6829.2</v>
      </c>
      <c r="U158" s="3062">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7">
        <v>6829.21</v>
      </c>
      <c r="U159" s="3062">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60">
        <v>6829.2110000000002</v>
      </c>
      <c r="U160" s="3062">
        <v>0</v>
      </c>
    </row>
    <row r="161" spans="1:21" ht="18">
      <c r="A161" s="1648" t="str">
        <f t="shared" si="26"/>
        <v>＝</v>
      </c>
      <c r="B161" s="1647">
        <f t="shared" si="27"/>
        <v>0</v>
      </c>
      <c r="C161" s="1647">
        <f t="shared" si="28"/>
        <v>0</v>
      </c>
      <c r="D161" s="1659">
        <v>6788</v>
      </c>
      <c r="E161" s="888" t="str">
        <f t="shared" si="29"/>
        <v>利润总额</v>
      </c>
      <c r="F161" s="884">
        <f>SUM(F158,F159,-F160)</f>
        <v>658051.31000000006</v>
      </c>
      <c r="G161" s="919">
        <f>SUM(G158,G159,G160)</f>
        <v>0</v>
      </c>
      <c r="H161" s="919">
        <f>SUM(H158,H159,H160)</f>
        <v>0</v>
      </c>
      <c r="I161" s="913">
        <f>SUM(I158,I159,-I160)</f>
        <v>658051.31000000006</v>
      </c>
      <c r="J161" s="914">
        <f>SUM(J158,J159,-J160)</f>
        <v>5502071.1699999999</v>
      </c>
      <c r="K161" s="919">
        <f>SUM(K158,K159,K160)</f>
        <v>0</v>
      </c>
      <c r="L161" s="919">
        <f>SUM(L158,L159,L160)</f>
        <v>0</v>
      </c>
      <c r="M161" s="891">
        <f>SUM(M158,M159,-M160)</f>
        <v>5502071.1699999999</v>
      </c>
      <c r="N161" s="641"/>
      <c r="O161" s="641"/>
      <c r="P161" s="641"/>
      <c r="Q161" s="641"/>
      <c r="T161" s="3060">
        <v>6829.2120000000004</v>
      </c>
      <c r="U161" s="3062">
        <v>0</v>
      </c>
    </row>
    <row r="162" spans="1:21" ht="18">
      <c r="A162" s="1648">
        <f t="shared" si="26"/>
        <v>0</v>
      </c>
      <c r="B162" s="1647">
        <f t="shared" si="27"/>
        <v>1</v>
      </c>
      <c r="C162" s="1647" t="str">
        <f t="shared" si="28"/>
        <v>J</v>
      </c>
      <c r="D162" s="1659">
        <v>6791</v>
      </c>
      <c r="E162" s="888" t="str">
        <f t="shared" si="29"/>
        <v>所得税费用</v>
      </c>
      <c r="F162" s="884">
        <f>VLOOKUP($D162,Sheet_Preis,4,0)</f>
        <v>-1089328.4099999999</v>
      </c>
      <c r="G162" s="885">
        <f>SUMIF(AJE!$B:$B,$C162&amp;$D162&amp;"*",AJE!$O:$O)</f>
        <v>0</v>
      </c>
      <c r="H162" s="885">
        <f>SUMIF(AJE!$B:$B,$C162&amp;$D162&amp;"*",AJE!$P:$P)</f>
        <v>0</v>
      </c>
      <c r="I162" s="913">
        <f t="shared" si="38"/>
        <v>-1089328.4099999999</v>
      </c>
      <c r="J162" s="914">
        <f>VLOOKUP($D162,Sheet_Preis,5,0)</f>
        <v>38389.24</v>
      </c>
      <c r="K162" s="885">
        <f>SUMIF('AJE1'!$B:$B,$C162&amp;$D162&amp;"*",'AJE1'!$O:$O)</f>
        <v>0</v>
      </c>
      <c r="L162" s="885">
        <f>SUMIF('AJE1'!$B:$B,$C162&amp;$D162&amp;"*",'AJE1'!$P:$P)</f>
        <v>0</v>
      </c>
      <c r="M162" s="891">
        <f t="shared" si="39"/>
        <v>38389.24</v>
      </c>
      <c r="N162" s="641"/>
      <c r="O162" s="641"/>
      <c r="P162" s="641"/>
      <c r="Q162" s="641"/>
      <c r="T162" s="3060">
        <v>6829.2190000000001</v>
      </c>
      <c r="U162" s="3062">
        <v>0</v>
      </c>
    </row>
    <row r="163" spans="1:21" ht="18">
      <c r="A163" s="1648" t="str">
        <f t="shared" si="26"/>
        <v>＝</v>
      </c>
      <c r="B163" s="1647">
        <f t="shared" si="27"/>
        <v>0</v>
      </c>
      <c r="C163" s="1647">
        <f t="shared" si="28"/>
        <v>0</v>
      </c>
      <c r="D163" s="2186">
        <v>6799</v>
      </c>
      <c r="E163" s="2187" t="str">
        <f t="shared" si="29"/>
        <v>净利润</v>
      </c>
      <c r="F163" s="884">
        <f t="shared" ref="F163:M163" si="49">SUM(F161,-F162)</f>
        <v>1747379.72</v>
      </c>
      <c r="G163" s="919">
        <f>SUM(G161,G162)</f>
        <v>0</v>
      </c>
      <c r="H163" s="919">
        <f>SUM(H161,H162)</f>
        <v>0</v>
      </c>
      <c r="I163" s="913">
        <f t="shared" si="49"/>
        <v>1747379.72</v>
      </c>
      <c r="J163" s="914">
        <f t="shared" si="49"/>
        <v>5463681.9299999997</v>
      </c>
      <c r="K163" s="919">
        <f>SUM(K161,K162)</f>
        <v>0</v>
      </c>
      <c r="L163" s="919">
        <f>SUM(L161,L162)</f>
        <v>0</v>
      </c>
      <c r="M163" s="891">
        <f t="shared" si="49"/>
        <v>5463681.9299999997</v>
      </c>
      <c r="N163" s="641"/>
      <c r="O163" s="641"/>
      <c r="P163" s="641"/>
      <c r="Q163" s="641"/>
      <c r="T163" s="3057">
        <v>6829.23</v>
      </c>
      <c r="U163" s="3062">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2">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1747379.72</v>
      </c>
      <c r="G165" s="918"/>
      <c r="H165" s="918"/>
      <c r="I165" s="921"/>
      <c r="J165" s="922">
        <f>VLOOKUP($D165,Sheet_Preis,5,0)</f>
        <v>5463681.9299999997</v>
      </c>
      <c r="K165" s="918"/>
      <c r="L165" s="918"/>
      <c r="M165" s="923"/>
      <c r="T165" s="3060">
        <v>6829.232</v>
      </c>
      <c r="U165" s="3062">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2">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2">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2">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1747379.72</v>
      </c>
      <c r="G169" s="885">
        <f>SUM(VLOOKUP(6799,Sheet_Trialbal,4,0),VLOOKUP(6812,Sheet_Trialbal,4,0))</f>
        <v>0</v>
      </c>
      <c r="H169" s="885">
        <f>SUM(VLOOKUP(6799,Sheet_Trialbal,5,0),VLOOKUP(6812,Sheet_Trialbal,5,0))</f>
        <v>0</v>
      </c>
      <c r="I169" s="913">
        <f t="shared" si="38"/>
        <v>1747379.72</v>
      </c>
      <c r="J169" s="914">
        <f>VLOOKUP($D169,Sheet_Preis,5,0)</f>
        <v>5463681.9299999997</v>
      </c>
      <c r="K169" s="885">
        <f>SUM(VLOOKUP(6799,Sheet_Trialbal,8,0),VLOOKUP(6812,Sheet_Trialbal,8,0))</f>
        <v>0</v>
      </c>
      <c r="L169" s="885">
        <f>SUM(VLOOKUP(6799,Sheet_Trialbal,9,0),VLOOKUP(6812,Sheet_Trialbal,9,0))</f>
        <v>0</v>
      </c>
      <c r="M169" s="891">
        <f t="shared" si="39"/>
        <v>5463681.9299999997</v>
      </c>
      <c r="N169" s="641"/>
      <c r="O169" s="641"/>
      <c r="P169" s="641"/>
      <c r="Q169" s="641"/>
      <c r="T169" s="3060">
        <v>6829.2359999999999</v>
      </c>
      <c r="U169" s="3062">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2">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2">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2">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2">
        <v>5463681.9299999997</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2">
        <v>5463681.9299999997</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2">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3"/>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3"/>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3"/>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3"/>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3"/>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3"/>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2"/>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2"/>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2">
        <v>-6897651.2000000002</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2">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2">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2">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2">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2">
        <v>-6897651.2000000002</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2">
        <v>5463681.9299999997</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2">
        <v>5463681.9299999997</v>
      </c>
    </row>
    <row r="192" spans="1:21" ht="18">
      <c r="A192" s="1648" t="str">
        <f t="shared" si="26"/>
        <v>＝</v>
      </c>
      <c r="B192" s="1647">
        <f t="shared" si="27"/>
        <v>0</v>
      </c>
      <c r="C192" s="1647">
        <f t="shared" si="28"/>
        <v>0</v>
      </c>
      <c r="D192" s="2186">
        <v>6839</v>
      </c>
      <c r="E192" s="2187" t="str">
        <f t="shared" si="29"/>
        <v>综合收益总额</v>
      </c>
      <c r="F192" s="884">
        <f t="shared" ref="F192:M192" si="58">SUM(F163,F170)</f>
        <v>1747379.72</v>
      </c>
      <c r="G192" s="885">
        <f t="shared" si="58"/>
        <v>0</v>
      </c>
      <c r="H192" s="885">
        <f t="shared" si="58"/>
        <v>0</v>
      </c>
      <c r="I192" s="913">
        <f t="shared" si="58"/>
        <v>1747379.72</v>
      </c>
      <c r="J192" s="914">
        <f t="shared" si="58"/>
        <v>5463681.9299999997</v>
      </c>
      <c r="K192" s="885">
        <f t="shared" si="58"/>
        <v>0</v>
      </c>
      <c r="L192" s="885">
        <f t="shared" si="58"/>
        <v>0</v>
      </c>
      <c r="M192" s="891">
        <f t="shared" si="58"/>
        <v>5463681.9299999997</v>
      </c>
      <c r="N192" s="641"/>
      <c r="O192" s="641"/>
      <c r="P192" s="641"/>
      <c r="Q192" s="641"/>
      <c r="T192" s="3055">
        <v>8030</v>
      </c>
      <c r="U192" s="3062">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1747379.72</v>
      </c>
      <c r="G193" s="885">
        <f t="shared" si="59"/>
        <v>0</v>
      </c>
      <c r="H193" s="885">
        <f t="shared" si="59"/>
        <v>0</v>
      </c>
      <c r="I193" s="913">
        <f t="shared" si="59"/>
        <v>1747379.72</v>
      </c>
      <c r="J193" s="914">
        <f t="shared" si="59"/>
        <v>5463681.9299999997</v>
      </c>
      <c r="K193" s="885">
        <f t="shared" si="59"/>
        <v>0</v>
      </c>
      <c r="L193" s="885">
        <f t="shared" si="59"/>
        <v>0</v>
      </c>
      <c r="M193" s="891">
        <f t="shared" si="59"/>
        <v>5463681.9299999997</v>
      </c>
      <c r="N193" s="641"/>
      <c r="O193" s="641"/>
      <c r="P193" s="641"/>
      <c r="Q193" s="641"/>
      <c r="T193" s="3055">
        <v>8040</v>
      </c>
      <c r="U193" s="3062">
        <v>5463681.9299999997</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2">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5">
        <v>8051</v>
      </c>
      <c r="U195" s="3062">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5">
        <v>8053</v>
      </c>
      <c r="U196" s="3062">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5">
        <v>8052</v>
      </c>
      <c r="U197" s="3062">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2">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2">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2">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5">
        <v>8062</v>
      </c>
      <c r="U201" s="3062">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2">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-6897651.2000000002</v>
      </c>
      <c r="K203" s="885">
        <f t="shared" ref="K203:L209" si="68">SUM(K236,K362,K395,K459,K492,K525,K558,K591,K624,K269,K300,K331,K428)</f>
        <v>0</v>
      </c>
      <c r="L203" s="885">
        <f t="shared" si="68"/>
        <v>0</v>
      </c>
      <c r="M203" s="891">
        <f t="shared" ref="M203:M209" ca="1" si="69">SUM(M236,M362,-M395,M459,M492,M525,M558,M591,M624,M269,M300,M331,M428)</f>
        <v>-6897651.2000000002</v>
      </c>
      <c r="N203" s="641"/>
      <c r="O203" s="641"/>
      <c r="P203" s="641"/>
      <c r="Q203" s="641"/>
      <c r="T203" s="3055">
        <v>8066</v>
      </c>
      <c r="U203" s="3062">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2">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2">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2">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2">
        <v>0</v>
      </c>
    </row>
    <row r="208" spans="1:21"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-6897651.2000000002</v>
      </c>
      <c r="K208" s="885">
        <f t="shared" si="68"/>
        <v>0</v>
      </c>
      <c r="L208" s="885">
        <f t="shared" si="68"/>
        <v>0</v>
      </c>
      <c r="M208" s="891">
        <f t="shared" ca="1" si="69"/>
        <v>-6897651.2000000002</v>
      </c>
      <c r="N208" s="641"/>
      <c r="O208" s="641"/>
      <c r="P208" s="641"/>
      <c r="Q208" s="641"/>
      <c r="T208" s="3055">
        <v>8075</v>
      </c>
      <c r="U208" s="3062">
        <v>0</v>
      </c>
    </row>
    <row r="209" spans="1:21" ht="18">
      <c r="A209" s="1648" t="str">
        <f t="shared" si="63"/>
        <v>＝</v>
      </c>
      <c r="B209" s="1647">
        <f t="shared" si="64"/>
        <v>0</v>
      </c>
      <c r="C209" s="1647">
        <f t="shared" si="61"/>
        <v>0</v>
      </c>
      <c r="D209" s="1659">
        <v>8090</v>
      </c>
      <c r="E209" s="888" t="str">
        <f t="shared" si="62"/>
        <v>所有者权益_本期增减变动金额</v>
      </c>
      <c r="F209" s="884">
        <f t="shared" si="65"/>
        <v>1747379.72</v>
      </c>
      <c r="G209" s="885">
        <f t="shared" si="66"/>
        <v>0</v>
      </c>
      <c r="H209" s="885">
        <f t="shared" si="66"/>
        <v>0</v>
      </c>
      <c r="I209" s="913">
        <f t="shared" si="67"/>
        <v>1747379.72</v>
      </c>
      <c r="J209" s="914">
        <f t="shared" ca="1" si="67"/>
        <v>5463681.9299999997</v>
      </c>
      <c r="K209" s="885">
        <f t="shared" si="68"/>
        <v>0</v>
      </c>
      <c r="L209" s="885">
        <f t="shared" si="68"/>
        <v>0</v>
      </c>
      <c r="M209" s="891">
        <f t="shared" ca="1" si="69"/>
        <v>5463681.9299999997</v>
      </c>
      <c r="N209" s="641"/>
      <c r="O209" s="641"/>
      <c r="P209" s="641"/>
      <c r="Q209" s="641"/>
      <c r="T209" s="3055">
        <v>8076</v>
      </c>
      <c r="U209" s="3062">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1747379.72</v>
      </c>
      <c r="G210" s="885">
        <f>SUM(G243,G369,G402,G466,G499,G532,G565,G598,G631)</f>
        <v>0</v>
      </c>
      <c r="H210" s="885">
        <f>SUM(H243,H369,H402,H466,H499,H532,H565,H598,H631)</f>
        <v>0</v>
      </c>
      <c r="I210" s="913">
        <f>SUM(I243,I369,-I402,I466,I499,I532,I565,I598,I631)</f>
        <v>1747379.72</v>
      </c>
      <c r="J210" s="914">
        <f>SUM(J243,J369,-J402,J466,J499,J532,J565,J598,J631)</f>
        <v>5463681.9299999997</v>
      </c>
      <c r="K210" s="885">
        <f>SUM(K243,K369,K402,K466,K499,K532,K565,K598,K631)</f>
        <v>0</v>
      </c>
      <c r="L210" s="885">
        <f>SUM(L243,L369,L402,L466,L499,L532,L565,L598,L631)</f>
        <v>0</v>
      </c>
      <c r="M210" s="891">
        <f>SUM(M243,M369,-M402,M466,M499,M532,M565,M598,M631)</f>
        <v>5463681.9299999997</v>
      </c>
      <c r="N210" s="641"/>
      <c r="O210" s="641"/>
      <c r="P210" s="641"/>
      <c r="Q210" s="641"/>
      <c r="T210" s="3055">
        <v>8080</v>
      </c>
      <c r="U210" s="3062">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2">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1747379.72</v>
      </c>
      <c r="G212" s="885">
        <f t="shared" ref="G212:H234" si="71">SUM(G245,G371,G404,G468,G501,G534,G567,G600,G633,G276,G307,G338,G435)</f>
        <v>0</v>
      </c>
      <c r="H212" s="885">
        <f t="shared" si="71"/>
        <v>0</v>
      </c>
      <c r="I212" s="913">
        <f t="shared" ref="I212:J234" si="72">SUM(I245,I371,-I404,I468,I501,I534,I567,I600,I633,I276,I307,I338,I435)</f>
        <v>1747379.72</v>
      </c>
      <c r="J212" s="914">
        <f t="shared" ca="1" si="72"/>
        <v>5463681.9299999997</v>
      </c>
      <c r="K212" s="885">
        <f t="shared" ref="K212:L234" si="73">SUM(K245,K371,K404,K468,K501,K534,K567,K600,K633,K276,K307,K338,K435)</f>
        <v>0</v>
      </c>
      <c r="L212" s="885">
        <f t="shared" si="73"/>
        <v>0</v>
      </c>
      <c r="M212" s="891">
        <f t="shared" ref="M212:M234" ca="1" si="74">SUM(M245,M371,-M404,M468,M501,M534,M567,M600,M633,M276,M307,M338,M435)</f>
        <v>5463681.9299999997</v>
      </c>
      <c r="N212" s="641"/>
      <c r="O212" s="641"/>
      <c r="P212" s="641"/>
      <c r="Q212" s="641"/>
      <c r="T212" s="3055">
        <v>8082</v>
      </c>
      <c r="U212" s="3062">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2">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2">
        <v>-1433969.27</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2"/>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2">
        <v>1000000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2">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2">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2">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2">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2">
        <v>1000000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2">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2">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2">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2">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2">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2">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2">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2">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2">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2">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2">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2">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1747379.72</v>
      </c>
      <c r="G234" s="885">
        <f t="shared" si="71"/>
        <v>0</v>
      </c>
      <c r="H234" s="885">
        <f t="shared" si="71"/>
        <v>0</v>
      </c>
      <c r="I234" s="913">
        <f t="shared" si="72"/>
        <v>1747379.72</v>
      </c>
      <c r="J234" s="914">
        <f t="shared" ca="1" si="72"/>
        <v>-1433969.27</v>
      </c>
      <c r="K234" s="885">
        <f t="shared" si="73"/>
        <v>0</v>
      </c>
      <c r="L234" s="885">
        <f t="shared" si="73"/>
        <v>0</v>
      </c>
      <c r="M234" s="891">
        <f t="shared" ca="1" si="74"/>
        <v>-1433969.27</v>
      </c>
      <c r="N234" s="641"/>
      <c r="O234" s="641"/>
      <c r="P234" s="641"/>
      <c r="Q234" s="641"/>
      <c r="T234" s="3055">
        <v>8163</v>
      </c>
      <c r="U234" s="3062">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5">
        <v>8166</v>
      </c>
      <c r="U235" s="3062">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1000000</v>
      </c>
      <c r="K236" s="885">
        <f>SUMIF('AJE1'!$B:$B,$C236&amp;$D236&amp;"*",'AJE1'!$O:$O)</f>
        <v>0</v>
      </c>
      <c r="L236" s="885">
        <f>SUMIF('AJE1'!$B:$B,$C236&amp;$D236&amp;"*",'AJE1'!$P:$P)</f>
        <v>0</v>
      </c>
      <c r="M236" s="891">
        <f>($B236*J236+K236-L236)*$B236</f>
        <v>1000000</v>
      </c>
      <c r="N236" s="641"/>
      <c r="O236" s="641"/>
      <c r="P236" s="641"/>
      <c r="Q236" s="641"/>
      <c r="T236" s="3055">
        <v>8170</v>
      </c>
      <c r="U236" s="3062">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2">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2">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2">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2">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1000000</v>
      </c>
      <c r="K241" s="885">
        <f t="shared" si="76"/>
        <v>0</v>
      </c>
      <c r="L241" s="885">
        <f t="shared" si="76"/>
        <v>0</v>
      </c>
      <c r="M241" s="891">
        <f t="shared" si="76"/>
        <v>1000000</v>
      </c>
      <c r="N241" s="641"/>
      <c r="O241" s="641"/>
      <c r="P241" s="641"/>
      <c r="Q241" s="641"/>
      <c r="T241" s="3055">
        <v>8176</v>
      </c>
      <c r="U241" s="3062">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2">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2">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2">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2">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2">
        <v>1000000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2"/>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2">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2">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2">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2">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2">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2">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2">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2">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2">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2">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2">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2">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2">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2">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2">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2">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2">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2">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2">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1000000</v>
      </c>
      <c r="K267" s="885">
        <f t="shared" si="87"/>
        <v>0</v>
      </c>
      <c r="L267" s="885">
        <f t="shared" si="87"/>
        <v>0</v>
      </c>
      <c r="M267" s="891">
        <f t="shared" si="87"/>
        <v>1000000</v>
      </c>
      <c r="N267" s="641"/>
      <c r="O267" s="641"/>
      <c r="P267" s="641"/>
      <c r="Q267" s="641"/>
      <c r="T267" s="3055" t="s">
        <v>1318</v>
      </c>
      <c r="U267" s="3062">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2">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2">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2">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2">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2">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2">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2">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2">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2">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2"/>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2">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2">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2">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2">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2">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2">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2">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2">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2">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2">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2">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2">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2">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2">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2">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2">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2">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2">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2">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2">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2">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2">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2">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2">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2">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2">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2">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2">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2">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2"/>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2">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2">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2">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2">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2">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2">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2">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2">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2">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2">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2">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2">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2">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2">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2">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2">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2">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2">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2">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2">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2">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2">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2">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2">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2">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2">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2">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2">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2">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2">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2">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2">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2">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2">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2">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2">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2">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2">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2">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2">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2">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2">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2">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2">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2">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2">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2">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2">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2">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2">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2">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2">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2">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5">
        <v>8273</v>
      </c>
      <c r="U361" s="3062">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2">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2">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2">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2">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2">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2">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2">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2">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2">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2">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2">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2">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2">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2">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2">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2">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2">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2">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2">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2">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2">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2">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2">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2">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2">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2">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2">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2">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2">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2">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2">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2">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5">
        <v>8375</v>
      </c>
      <c r="U394" s="3062">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2">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2">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2">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2">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2">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2">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2"/>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2">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2">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2">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2">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2">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2">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2">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2">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2">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2">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2">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2">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2">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2">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2">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2">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2">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2">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2">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2">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2">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2">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2">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2">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2">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5" t="s">
        <v>1802</v>
      </c>
      <c r="U427" s="3062">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2">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2">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2">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2">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2">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2">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2">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2">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2">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2">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2">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2">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2">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2">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2">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2">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2">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2">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2">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2">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2">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2">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2">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2">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2">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2">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2">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2">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2">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2">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5">
        <v>8480</v>
      </c>
      <c r="U458" s="3062">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2">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2">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2">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2">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2">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2">
        <v>0</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2">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2">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2">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2">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2">
        <v>0</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2">
        <v>0</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2">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2">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2">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2">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2">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2">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2">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2">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2">
        <v>0</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2">
        <v>0</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2">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2">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2">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2">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2">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2">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2">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2">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2">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2">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5">
        <v>8581</v>
      </c>
      <c r="U491" s="3062">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5">
        <v>8582</v>
      </c>
      <c r="U492" s="3062">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2">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2">
        <v>0</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2">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2">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5">
        <v>8602</v>
      </c>
      <c r="U497" s="3062">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2">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2">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2">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2">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2">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2">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2">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2">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2">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2">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2">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2">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2">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2">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2">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2">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2">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2">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2">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2">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2">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2">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2">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2">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2">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5">
        <v>8681</v>
      </c>
      <c r="U523" s="3062">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5">
        <v>8682</v>
      </c>
      <c r="U524" s="3062">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2">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2">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2">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2">
        <v>-7897651.2000000002</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2">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2">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2">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2">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2">
        <v>-7897651.2000000002</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2">
        <v>5463681.9299999997</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2">
        <v>5463681.9299999997</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2"/>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2">
        <v>5463681.9299999997</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2">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2">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2">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2">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2">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2">
        <v>0</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2">
        <v>0</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2">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2">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2">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2">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2">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2">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2">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2">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2">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2">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2">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2">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5">
        <v>8796</v>
      </c>
      <c r="U557" s="3062">
        <v>0</v>
      </c>
    </row>
    <row r="558" spans="1:21"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-7897651.2000000002</v>
      </c>
      <c r="K558" s="885">
        <f>SUMIF('AJE1'!$B:$B,$C558&amp;$D558&amp;"*",'AJE1'!$O:$O)</f>
        <v>0</v>
      </c>
      <c r="L558" s="885">
        <f>SUMIF('AJE1'!$B:$B,$C558&amp;$D558&amp;"*",'AJE1'!$P:$P)</f>
        <v>0</v>
      </c>
      <c r="M558" s="891">
        <f t="shared" si="217"/>
        <v>-7897651.2000000002</v>
      </c>
      <c r="N558" s="641"/>
      <c r="O558" s="641"/>
      <c r="P558" s="641"/>
      <c r="Q558" s="641"/>
      <c r="T558" s="3055">
        <v>8799</v>
      </c>
      <c r="U558" s="3062">
        <v>-2433969.27</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2">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2">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2">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2">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-7897651.2000000002</v>
      </c>
      <c r="K563" s="885">
        <f t="shared" si="220"/>
        <v>0</v>
      </c>
      <c r="L563" s="885">
        <f t="shared" si="220"/>
        <v>0</v>
      </c>
      <c r="M563" s="891">
        <f t="shared" si="220"/>
        <v>-7897651.2000000002</v>
      </c>
      <c r="N563" s="641"/>
      <c r="O563" s="641"/>
      <c r="P563" s="641"/>
      <c r="Q563" s="641"/>
      <c r="T563" s="3055">
        <v>8804</v>
      </c>
      <c r="U563" s="3062">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1747379.72</v>
      </c>
      <c r="G564" s="885">
        <f t="shared" ref="G564:M564" si="221">SUM(G567,G568,G573,G578,G585,G588)</f>
        <v>0</v>
      </c>
      <c r="H564" s="885">
        <f t="shared" si="221"/>
        <v>0</v>
      </c>
      <c r="I564" s="913">
        <f t="shared" si="221"/>
        <v>1747379.72</v>
      </c>
      <c r="J564" s="914">
        <f t="shared" si="221"/>
        <v>5463681.9299999997</v>
      </c>
      <c r="K564" s="885">
        <f t="shared" si="221"/>
        <v>0</v>
      </c>
      <c r="L564" s="885">
        <f t="shared" si="221"/>
        <v>0</v>
      </c>
      <c r="M564" s="891">
        <f t="shared" si="221"/>
        <v>5463681.9299999997</v>
      </c>
      <c r="N564" s="641"/>
      <c r="O564" s="641"/>
      <c r="P564" s="641"/>
      <c r="Q564" s="641"/>
      <c r="T564" s="3055">
        <v>8809</v>
      </c>
      <c r="U564" s="3062">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1747379.72</v>
      </c>
      <c r="G565" s="885">
        <f>SUM(VLOOKUP(6799,Sheet_Trialbal,4,0))</f>
        <v>0</v>
      </c>
      <c r="H565" s="885">
        <f>SUM(VLOOKUP(6799,Sheet_Trialbal,5,0))</f>
        <v>0</v>
      </c>
      <c r="I565" s="913">
        <f t="shared" si="215"/>
        <v>1747379.72</v>
      </c>
      <c r="J565" s="914">
        <f t="shared" si="216"/>
        <v>5463681.9299999997</v>
      </c>
      <c r="K565" s="885">
        <f>SUM(VLOOKUP(6799,Sheet_Trialbal,8,0))</f>
        <v>0</v>
      </c>
      <c r="L565" s="885">
        <f>SUM(VLOOKUP(6799,Sheet_Trialbal,9,0))</f>
        <v>0</v>
      </c>
      <c r="M565" s="891">
        <f t="shared" si="217"/>
        <v>5463681.9299999997</v>
      </c>
      <c r="N565" s="641"/>
      <c r="O565" s="641"/>
      <c r="P565" s="641"/>
      <c r="Q565" s="641"/>
      <c r="T565" s="3055">
        <v>8810</v>
      </c>
      <c r="U565" s="3062">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2">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1747379.72</v>
      </c>
      <c r="G567" s="885">
        <f>SUM(VLOOKUP(6799,Sheet_Trialbal,4,0))</f>
        <v>0</v>
      </c>
      <c r="H567" s="885">
        <f>SUM(VLOOKUP(6799,Sheet_Trialbal,5,0))</f>
        <v>0</v>
      </c>
      <c r="I567" s="913">
        <f>(B567*F567+G567-H567)*B567</f>
        <v>1747379.72</v>
      </c>
      <c r="J567" s="914">
        <f>INDEX(Sheet_Presc,MATCH((RIGHT($D567,2)),Sheet_Prescrow,0),MATCH((VALUE(LEFT($D567,2))),Sheet_Presccol,0))</f>
        <v>5463681.9299999997</v>
      </c>
      <c r="K567" s="885">
        <f>SUM(VLOOKUP(6799,Sheet_Trialbal,8,0))</f>
        <v>0</v>
      </c>
      <c r="L567" s="885">
        <f>SUM(VLOOKUP(6799,Sheet_Trialbal,9,0))</f>
        <v>0</v>
      </c>
      <c r="M567" s="891">
        <f>($B567*J567+K567-L567)*$B567</f>
        <v>5463681.9299999997</v>
      </c>
      <c r="N567" s="641"/>
      <c r="O567" s="641"/>
      <c r="P567" s="641"/>
      <c r="Q567" s="641"/>
      <c r="T567" s="3055">
        <v>8821</v>
      </c>
      <c r="U567" s="3062">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2">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2">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2">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2">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2">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2">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2">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2">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2">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2">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2">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2">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2">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2">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2">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2">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2">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2">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2">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2">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2">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1747379.72</v>
      </c>
      <c r="G589" s="885">
        <f t="shared" si="227"/>
        <v>0</v>
      </c>
      <c r="H589" s="885">
        <f t="shared" si="227"/>
        <v>0</v>
      </c>
      <c r="I589" s="913">
        <f t="shared" si="227"/>
        <v>1747379.72</v>
      </c>
      <c r="J589" s="914">
        <f t="shared" si="227"/>
        <v>-2433969.27</v>
      </c>
      <c r="K589" s="885">
        <f t="shared" si="227"/>
        <v>0</v>
      </c>
      <c r="L589" s="885">
        <f t="shared" si="227"/>
        <v>0</v>
      </c>
      <c r="M589" s="891">
        <f t="shared" si="227"/>
        <v>-2433969.27</v>
      </c>
      <c r="N589" s="641"/>
      <c r="O589" s="641"/>
      <c r="P589" s="641"/>
      <c r="Q589" s="641"/>
      <c r="T589" s="3055">
        <v>8896</v>
      </c>
      <c r="U589" s="3062">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5">
        <v>8899</v>
      </c>
      <c r="U590" s="3062">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2">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2">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2">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2">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2">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2">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2">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2">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2">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2">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2">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2">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2">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2">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2">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2">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2">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2">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2">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2">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2">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2">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2">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2">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2">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2">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2">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2">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2">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2">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2">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2">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5">
        <v>7</v>
      </c>
      <c r="U623" s="3062"/>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2"/>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2">
        <v>5797532.9199999999</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2">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2">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2">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2">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2">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2">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2">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2">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2">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2">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2">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2">
        <v>75955.25</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2">
        <v>5873488.1699999999</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2">
        <v>81582.06</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2">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2">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2">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2">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2">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2">
        <v>4358899.5999999996</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2">
        <v>484649.86</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2">
        <v>1504600.6</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2">
        <v>6429732.1200000001</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2">
        <v>-556243.94999999995</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2">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2">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2">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2">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2">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2">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5">
        <v>7148</v>
      </c>
      <c r="U656" s="3062">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5">
        <v>7151</v>
      </c>
      <c r="U657" s="3062">
        <v>0</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3423319.05</v>
      </c>
      <c r="G658" s="885">
        <f>SUMIF(CFJE!$B:$B,$C658&amp;$D658&amp;"*",CFJE!$S:$S)</f>
        <v>0</v>
      </c>
      <c r="H658" s="885">
        <f>SUMIF(CFJE!$B:$B,$C658&amp;$D658&amp;"*",CFJE!$T:$T)</f>
        <v>0</v>
      </c>
      <c r="I658" s="913">
        <f t="shared" ref="I658:I689" si="252">(B658*F658+G658-H658)*B658</f>
        <v>3423319.05</v>
      </c>
      <c r="J658" s="914">
        <f t="shared" ref="J658:J689" si="253">VLOOKUP($D658,Sheet_Precf,5,0)</f>
        <v>5797532.9199999999</v>
      </c>
      <c r="K658" s="885"/>
      <c r="L658" s="885"/>
      <c r="M658" s="891">
        <f t="shared" ref="M658:M689" si="254">($B658*J658+K658-L658)*$B658</f>
        <v>5797532.9199999999</v>
      </c>
      <c r="N658" s="641"/>
      <c r="O658" s="641"/>
      <c r="P658" s="641"/>
      <c r="Q658" s="641"/>
      <c r="T658" s="3055">
        <v>7161</v>
      </c>
      <c r="U658" s="3062">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2">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2">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2">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2">
        <v>0</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2">
        <v>0</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2">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2">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2">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2">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2">
        <v>0</v>
      </c>
    </row>
    <row r="669" spans="1:21" ht="18">
      <c r="A669" s="1648">
        <f t="shared" si="239"/>
        <v>0</v>
      </c>
      <c r="B669" s="1647">
        <f t="shared" si="240"/>
        <v>1</v>
      </c>
      <c r="C669" s="1647" t="str">
        <f t="shared" si="237"/>
        <v>J</v>
      </c>
      <c r="D669" s="1659">
        <v>7031</v>
      </c>
      <c r="E669" s="888" t="str">
        <f t="shared" si="241"/>
        <v>收到的税费返还</v>
      </c>
      <c r="F669" s="884">
        <f t="shared" si="251"/>
        <v>1462.35</v>
      </c>
      <c r="G669" s="885">
        <f>SUMIF(CFJE!$B:$B,$C669&amp;$D669&amp;"*",CFJE!$S:$S)</f>
        <v>0</v>
      </c>
      <c r="H669" s="885">
        <f>SUMIF(CFJE!$B:$B,$C669&amp;$D669&amp;"*",CFJE!$T:$T)</f>
        <v>0</v>
      </c>
      <c r="I669" s="913">
        <f t="shared" si="252"/>
        <v>1462.35</v>
      </c>
      <c r="J669" s="914">
        <f t="shared" si="253"/>
        <v>0</v>
      </c>
      <c r="K669" s="885"/>
      <c r="L669" s="885"/>
      <c r="M669" s="891">
        <f t="shared" si="254"/>
        <v>0</v>
      </c>
      <c r="N669" s="641"/>
      <c r="O669" s="641"/>
      <c r="P669" s="641"/>
      <c r="Q669" s="641"/>
      <c r="T669" s="3055">
        <v>7246</v>
      </c>
      <c r="U669" s="3062">
        <v>1194580.43</v>
      </c>
    </row>
    <row r="670" spans="1:21" ht="18">
      <c r="A670" s="1648">
        <f t="shared" si="239"/>
        <v>0</v>
      </c>
      <c r="B670" s="1647">
        <f t="shared" si="240"/>
        <v>1</v>
      </c>
      <c r="C670" s="1647" t="str">
        <f t="shared" si="237"/>
        <v>J</v>
      </c>
      <c r="D670" s="1659">
        <v>7046</v>
      </c>
      <c r="E670" s="888" t="str">
        <f t="shared" si="241"/>
        <v>收到其他与经营活动有关的现金</v>
      </c>
      <c r="F670" s="884">
        <f t="shared" si="251"/>
        <v>120871.54</v>
      </c>
      <c r="G670" s="885">
        <f>SUMIF(CFJE!$B:$B,$C670&amp;$D670&amp;"*",CFJE!$S:$S)</f>
        <v>0</v>
      </c>
      <c r="H670" s="885">
        <f>SUMIF(CFJE!$B:$B,$C670&amp;$D670&amp;"*",CFJE!$T:$T)</f>
        <v>0</v>
      </c>
      <c r="I670" s="913">
        <f t="shared" si="252"/>
        <v>120871.54</v>
      </c>
      <c r="J670" s="914">
        <f t="shared" si="253"/>
        <v>75955.25</v>
      </c>
      <c r="K670" s="885"/>
      <c r="L670" s="885"/>
      <c r="M670" s="891">
        <f t="shared" si="254"/>
        <v>75955.25</v>
      </c>
      <c r="N670" s="641"/>
      <c r="O670" s="641"/>
      <c r="P670" s="641"/>
      <c r="Q670" s="641"/>
      <c r="T670" s="3055">
        <v>7248</v>
      </c>
      <c r="U670" s="3062">
        <v>1194580.43</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3545652.94</v>
      </c>
      <c r="G671" s="885">
        <f t="shared" si="257"/>
        <v>0</v>
      </c>
      <c r="H671" s="885">
        <f t="shared" si="257"/>
        <v>0</v>
      </c>
      <c r="I671" s="913">
        <f t="shared" si="257"/>
        <v>3545652.94</v>
      </c>
      <c r="J671" s="914">
        <f t="shared" si="257"/>
        <v>5873488.1699999999</v>
      </c>
      <c r="K671" s="885">
        <f t="shared" si="257"/>
        <v>0</v>
      </c>
      <c r="L671" s="885">
        <f t="shared" si="257"/>
        <v>0</v>
      </c>
      <c r="M671" s="891">
        <f t="shared" si="257"/>
        <v>5873488.1699999999</v>
      </c>
      <c r="N671" s="641"/>
      <c r="O671" s="641"/>
      <c r="P671" s="641"/>
      <c r="Q671" s="641"/>
      <c r="T671" s="3055">
        <v>7251</v>
      </c>
      <c r="U671" s="3062">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281714.11</v>
      </c>
      <c r="G672" s="885">
        <f>SUMIF(CFJE!$B:$B,$C672&amp;$D672&amp;"*",CFJE!$S:$S)</f>
        <v>0</v>
      </c>
      <c r="H672" s="885">
        <f>SUMIF(CFJE!$B:$B,$C672&amp;$D672&amp;"*",CFJE!$T:$T)</f>
        <v>0</v>
      </c>
      <c r="I672" s="913">
        <f t="shared" si="252"/>
        <v>281714.11</v>
      </c>
      <c r="J672" s="914">
        <f t="shared" si="253"/>
        <v>81582.06</v>
      </c>
      <c r="K672" s="885"/>
      <c r="L672" s="885"/>
      <c r="M672" s="891">
        <f t="shared" si="254"/>
        <v>81582.06</v>
      </c>
      <c r="N672" s="641"/>
      <c r="O672" s="641"/>
      <c r="P672" s="641"/>
      <c r="Q672" s="641"/>
      <c r="T672" s="3055">
        <v>7261</v>
      </c>
      <c r="U672" s="3062">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2">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2">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2">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2">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2">
        <v>1194580.43</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2">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2184383.0299999998</v>
      </c>
      <c r="G679" s="885">
        <f>SUMIF(CFJE!$B:$B,$C679&amp;$D679&amp;"*",CFJE!$S:$S)</f>
        <v>0</v>
      </c>
      <c r="H679" s="885">
        <f>SUMIF(CFJE!$B:$B,$C679&amp;$D679&amp;"*",CFJE!$T:$T)</f>
        <v>0</v>
      </c>
      <c r="I679" s="913">
        <f t="shared" si="252"/>
        <v>2184383.0299999998</v>
      </c>
      <c r="J679" s="914">
        <f t="shared" si="253"/>
        <v>4358899.5999999996</v>
      </c>
      <c r="K679" s="885"/>
      <c r="L679" s="885"/>
      <c r="M679" s="891">
        <f t="shared" si="254"/>
        <v>4358899.5999999996</v>
      </c>
      <c r="N679" s="641"/>
      <c r="O679" s="641"/>
      <c r="P679" s="641"/>
      <c r="Q679" s="641"/>
      <c r="T679" s="3055">
        <v>7348</v>
      </c>
      <c r="U679" s="3062">
        <v>638336.48</v>
      </c>
    </row>
    <row r="680" spans="1:21" ht="18">
      <c r="A680" s="1648">
        <f t="shared" si="239"/>
        <v>0</v>
      </c>
      <c r="B680" s="1647">
        <f t="shared" si="240"/>
        <v>-1</v>
      </c>
      <c r="C680" s="1647" t="str">
        <f t="shared" si="237"/>
        <v>J</v>
      </c>
      <c r="D680" s="1659">
        <v>7071</v>
      </c>
      <c r="E680" s="888" t="str">
        <f t="shared" si="241"/>
        <v>支付的各项税费</v>
      </c>
      <c r="F680" s="884">
        <f t="shared" si="258"/>
        <v>734423.99</v>
      </c>
      <c r="G680" s="885">
        <f>SUMIF(CFJE!$B:$B,$C680&amp;$D680&amp;"*",CFJE!$S:$S)</f>
        <v>0</v>
      </c>
      <c r="H680" s="885">
        <f>SUMIF(CFJE!$B:$B,$C680&amp;$D680&amp;"*",CFJE!$T:$T)</f>
        <v>0</v>
      </c>
      <c r="I680" s="913">
        <f t="shared" si="252"/>
        <v>734423.99</v>
      </c>
      <c r="J680" s="914">
        <f t="shared" si="253"/>
        <v>484649.86</v>
      </c>
      <c r="K680" s="885"/>
      <c r="L680" s="885"/>
      <c r="M680" s="891">
        <f t="shared" si="254"/>
        <v>484649.86</v>
      </c>
      <c r="N680" s="641"/>
      <c r="O680" s="641"/>
      <c r="P680" s="641"/>
      <c r="Q680" s="641"/>
      <c r="T680" s="3055">
        <v>7349</v>
      </c>
      <c r="U680" s="3062">
        <v>160826.12</v>
      </c>
    </row>
    <row r="681" spans="1:21" ht="18">
      <c r="A681" s="1648">
        <f t="shared" si="239"/>
        <v>0</v>
      </c>
      <c r="B681" s="1647">
        <f t="shared" si="240"/>
        <v>-1</v>
      </c>
      <c r="C681" s="1647" t="str">
        <f t="shared" si="237"/>
        <v>J</v>
      </c>
      <c r="D681" s="1659">
        <v>7096</v>
      </c>
      <c r="E681" s="888" t="str">
        <f t="shared" si="241"/>
        <v>支付其他与经营活动有关的现金</v>
      </c>
      <c r="F681" s="884">
        <f t="shared" si="258"/>
        <v>26330.27</v>
      </c>
      <c r="G681" s="885">
        <f>SUMIF(CFJE!$B:$B,$C681&amp;$D681&amp;"*",CFJE!$S:$S)</f>
        <v>0</v>
      </c>
      <c r="H681" s="885">
        <f>SUMIF(CFJE!$B:$B,$C681&amp;$D681&amp;"*",CFJE!$T:$T)</f>
        <v>0</v>
      </c>
      <c r="I681" s="913">
        <f t="shared" si="252"/>
        <v>26330.27</v>
      </c>
      <c r="J681" s="914">
        <f t="shared" si="253"/>
        <v>1504600.6</v>
      </c>
      <c r="K681" s="885"/>
      <c r="L681" s="885"/>
      <c r="M681" s="891">
        <f t="shared" si="254"/>
        <v>1504600.6</v>
      </c>
      <c r="N681" s="641"/>
      <c r="O681" s="641"/>
      <c r="P681" s="641"/>
      <c r="Q681" s="641"/>
      <c r="T681" s="3055">
        <v>7399</v>
      </c>
      <c r="U681" s="3062">
        <v>799162.6</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3226851.4</v>
      </c>
      <c r="G682" s="885">
        <f t="shared" si="261"/>
        <v>0</v>
      </c>
      <c r="H682" s="885">
        <f t="shared" si="261"/>
        <v>0</v>
      </c>
      <c r="I682" s="913">
        <f t="shared" si="261"/>
        <v>3226851.4</v>
      </c>
      <c r="J682" s="914">
        <f t="shared" si="261"/>
        <v>6429732.1200000001</v>
      </c>
      <c r="K682" s="885">
        <f t="shared" si="261"/>
        <v>0</v>
      </c>
      <c r="L682" s="885">
        <f t="shared" si="261"/>
        <v>0</v>
      </c>
      <c r="M682" s="891">
        <f t="shared" si="261"/>
        <v>6429732.1200000001</v>
      </c>
      <c r="N682" s="641"/>
      <c r="O682" s="641"/>
      <c r="P682" s="641"/>
      <c r="Q682" s="641"/>
      <c r="T682" s="3055">
        <v>19</v>
      </c>
      <c r="U682" s="3062"/>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318801.53999999998</v>
      </c>
      <c r="G683" s="919">
        <f>SUM(G671,G682)</f>
        <v>0</v>
      </c>
      <c r="H683" s="919">
        <f>SUM(H671,H682)</f>
        <v>0</v>
      </c>
      <c r="I683" s="913">
        <f t="shared" si="262"/>
        <v>318801.53999999998</v>
      </c>
      <c r="J683" s="914">
        <f t="shared" si="262"/>
        <v>-556243.94999999995</v>
      </c>
      <c r="K683" s="919">
        <f>SUM(K671,K682)</f>
        <v>0</v>
      </c>
      <c r="L683" s="919">
        <f>SUM(L671,L682)</f>
        <v>0</v>
      </c>
      <c r="M683" s="891">
        <f t="shared" si="262"/>
        <v>-556243.94999999995</v>
      </c>
      <c r="N683" s="641"/>
      <c r="O683" s="641"/>
      <c r="P683" s="641"/>
      <c r="Q683" s="641"/>
      <c r="T683" s="3056">
        <v>1122.1231</v>
      </c>
      <c r="U683" s="3062">
        <v>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56">
        <v>1125.1231</v>
      </c>
      <c r="U684" s="3062">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56">
        <v>1221.1231</v>
      </c>
      <c r="U685" s="3062">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56">
        <v>1400.1470999999999</v>
      </c>
      <c r="U686" s="3062">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56">
        <v>1503.1504</v>
      </c>
      <c r="U687" s="3062">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56">
        <v>1501.1502</v>
      </c>
      <c r="U688" s="3062">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56">
        <v>1511.1512</v>
      </c>
      <c r="U689" s="3062">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56">
        <v>1521.1522</v>
      </c>
      <c r="U690" s="3062">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56">
        <v>1601.1603</v>
      </c>
      <c r="U691" s="3062">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56">
        <v>1605.1608000000001</v>
      </c>
      <c r="U692" s="3062">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56">
        <v>1604.1606999999999</v>
      </c>
      <c r="U693" s="3062">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56">
        <v>1621.1623999999999</v>
      </c>
      <c r="U694" s="3062">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56">
        <v>1631.1632999999999</v>
      </c>
      <c r="U695" s="3062">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0</v>
      </c>
      <c r="K696" s="885">
        <f t="shared" si="268"/>
        <v>0</v>
      </c>
      <c r="L696" s="885">
        <f t="shared" si="268"/>
        <v>0</v>
      </c>
      <c r="M696" s="891">
        <f t="shared" si="268"/>
        <v>0</v>
      </c>
      <c r="N696" s="641"/>
      <c r="O696" s="641"/>
      <c r="P696" s="641"/>
      <c r="Q696" s="641"/>
      <c r="T696" s="3056">
        <v>1701.1703</v>
      </c>
      <c r="U696" s="3062">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0</v>
      </c>
      <c r="G697" s="919">
        <f>SUM(G690,G696)</f>
        <v>0</v>
      </c>
      <c r="H697" s="919">
        <f>SUM(H690,H696)</f>
        <v>0</v>
      </c>
      <c r="I697" s="913">
        <f t="shared" si="269"/>
        <v>0</v>
      </c>
      <c r="J697" s="914">
        <f t="shared" si="269"/>
        <v>0</v>
      </c>
      <c r="K697" s="919">
        <f>SUM(K690,K696)</f>
        <v>0</v>
      </c>
      <c r="L697" s="919">
        <f>SUM(L690,L696)</f>
        <v>0</v>
      </c>
      <c r="M697" s="891">
        <f t="shared" si="269"/>
        <v>0</v>
      </c>
      <c r="N697" s="641"/>
      <c r="O697" s="641"/>
      <c r="P697" s="641"/>
      <c r="Q697" s="641"/>
      <c r="T697" s="3056">
        <v>1711.1712</v>
      </c>
      <c r="U697" s="3062">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56">
        <v>1991.1992</v>
      </c>
      <c r="U698" s="3062">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56">
        <v>1991</v>
      </c>
      <c r="U699" s="3062">
        <v>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56">
        <v>7500</v>
      </c>
      <c r="U700" s="3062"/>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56">
        <v>7501</v>
      </c>
      <c r="U701" s="3062"/>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1194580.43</v>
      </c>
      <c r="K702" s="885"/>
      <c r="L702" s="885"/>
      <c r="M702" s="891">
        <f t="shared" si="267"/>
        <v>1194580.43</v>
      </c>
      <c r="N702" s="641"/>
      <c r="O702" s="641"/>
      <c r="P702" s="641"/>
      <c r="Q702" s="641"/>
      <c r="T702" s="3056">
        <v>7502</v>
      </c>
      <c r="U702" s="3063">
        <v>5463681.9299999997</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1194580.43</v>
      </c>
      <c r="K703" s="885">
        <f t="shared" si="271"/>
        <v>0</v>
      </c>
      <c r="L703" s="885">
        <f t="shared" si="271"/>
        <v>0</v>
      </c>
      <c r="M703" s="891">
        <f t="shared" si="271"/>
        <v>1194580.43</v>
      </c>
      <c r="N703" s="641"/>
      <c r="O703" s="641"/>
      <c r="P703" s="641"/>
      <c r="Q703" s="641"/>
      <c r="T703" s="3056">
        <v>7503</v>
      </c>
      <c r="U703" s="3063">
        <v>35987.15</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56">
        <v>7505</v>
      </c>
      <c r="U704" s="3063">
        <v>507.85</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56">
        <v>7506</v>
      </c>
      <c r="U705" s="3063">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56">
        <v>7507</v>
      </c>
      <c r="U706" s="3063">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738000</v>
      </c>
      <c r="G707" s="885">
        <f>SUMIF(CFJE!$B:$B,$C707&amp;$D707&amp;"*",CFJE!$S:$S)</f>
        <v>0</v>
      </c>
      <c r="H707" s="885">
        <f>SUMIF(CFJE!$B:$B,$C707&amp;$D707&amp;"*",CFJE!$T:$T)</f>
        <v>0</v>
      </c>
      <c r="I707" s="913">
        <f t="shared" si="265"/>
        <v>738000</v>
      </c>
      <c r="J707" s="914">
        <f t="shared" si="266"/>
        <v>0</v>
      </c>
      <c r="K707" s="885"/>
      <c r="L707" s="885"/>
      <c r="M707" s="891">
        <f t="shared" si="267"/>
        <v>0</v>
      </c>
      <c r="N707" s="641"/>
      <c r="O707" s="641"/>
      <c r="P707" s="641"/>
      <c r="Q707" s="641"/>
      <c r="T707" s="3056">
        <v>7508</v>
      </c>
      <c r="U707" s="3063">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738000</v>
      </c>
      <c r="G708" s="885">
        <f t="shared" si="276"/>
        <v>0</v>
      </c>
      <c r="H708" s="885">
        <f t="shared" si="276"/>
        <v>0</v>
      </c>
      <c r="I708" s="913">
        <f t="shared" si="276"/>
        <v>738000</v>
      </c>
      <c r="J708" s="914">
        <f t="shared" si="276"/>
        <v>0</v>
      </c>
      <c r="K708" s="885">
        <f t="shared" si="276"/>
        <v>0</v>
      </c>
      <c r="L708" s="885">
        <f t="shared" si="276"/>
        <v>0</v>
      </c>
      <c r="M708" s="891">
        <f t="shared" si="276"/>
        <v>0</v>
      </c>
      <c r="N708" s="641"/>
      <c r="O708" s="641"/>
      <c r="P708" s="641"/>
      <c r="Q708" s="641"/>
      <c r="T708" s="3056">
        <v>7509</v>
      </c>
      <c r="U708" s="3063">
        <v>0</v>
      </c>
    </row>
    <row r="709" spans="1:21" ht="18">
      <c r="A709" s="1648" t="str">
        <f t="shared" si="273"/>
        <v>＝</v>
      </c>
      <c r="B709" s="1647">
        <f t="shared" si="274"/>
        <v>0</v>
      </c>
      <c r="C709" s="1647">
        <f t="shared" si="272"/>
        <v>0</v>
      </c>
      <c r="D709" s="2186">
        <v>7299</v>
      </c>
      <c r="E709" s="2187" t="str">
        <f t="shared" si="275"/>
        <v>筹资活动产生的现金流量净额</v>
      </c>
      <c r="F709" s="884">
        <f>SUM(F703,-F708)</f>
        <v>-738000</v>
      </c>
      <c r="G709" s="919">
        <f>SUM(G703,G708)</f>
        <v>0</v>
      </c>
      <c r="H709" s="919">
        <f>SUM(H703,H708)</f>
        <v>0</v>
      </c>
      <c r="I709" s="913">
        <f>SUM(I703,-I708)</f>
        <v>-738000</v>
      </c>
      <c r="J709" s="914">
        <f>SUM(J703,-J708)</f>
        <v>1194580.43</v>
      </c>
      <c r="K709" s="919">
        <f>SUM(K703,K708)</f>
        <v>0</v>
      </c>
      <c r="L709" s="919">
        <f>SUM(L703,L708)</f>
        <v>0</v>
      </c>
      <c r="M709" s="891">
        <f>SUM(M703,-M708)</f>
        <v>1194580.43</v>
      </c>
      <c r="N709" s="641"/>
      <c r="O709" s="641"/>
      <c r="P709" s="641"/>
      <c r="Q709" s="641"/>
      <c r="T709" s="3056">
        <v>7510</v>
      </c>
      <c r="U709" s="3063">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56">
        <v>7511</v>
      </c>
      <c r="U710" s="3063">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-419198.46</v>
      </c>
      <c r="G711" s="885">
        <f t="shared" si="277"/>
        <v>0</v>
      </c>
      <c r="H711" s="885">
        <f t="shared" si="277"/>
        <v>0</v>
      </c>
      <c r="I711" s="913">
        <f t="shared" si="277"/>
        <v>-419198.46</v>
      </c>
      <c r="J711" s="914">
        <f t="shared" si="277"/>
        <v>638336.48</v>
      </c>
      <c r="K711" s="885">
        <f t="shared" si="277"/>
        <v>0</v>
      </c>
      <c r="L711" s="885">
        <f t="shared" si="277"/>
        <v>0</v>
      </c>
      <c r="M711" s="891">
        <f t="shared" si="277"/>
        <v>638336.48</v>
      </c>
      <c r="N711" s="641"/>
      <c r="O711" s="641"/>
      <c r="P711" s="641"/>
      <c r="Q711" s="641"/>
      <c r="T711" s="3056">
        <v>7512</v>
      </c>
      <c r="U711" s="3063">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799162.6</v>
      </c>
      <c r="G712" s="918">
        <f>SUMIF(CFJE!$B:$B,$C712&amp;$D712&amp;"*",CFJE!$S:$S)</f>
        <v>0</v>
      </c>
      <c r="H712" s="918">
        <f>SUMIF(CFJE!$B:$B,$C712&amp;$D712&amp;"*",CFJE!$T:$T)</f>
        <v>0</v>
      </c>
      <c r="I712" s="913">
        <f t="shared" si="265"/>
        <v>799162.6</v>
      </c>
      <c r="J712" s="914">
        <f t="shared" si="266"/>
        <v>160826.12</v>
      </c>
      <c r="K712" s="918"/>
      <c r="L712" s="918"/>
      <c r="M712" s="891">
        <f t="shared" si="267"/>
        <v>160826.12</v>
      </c>
      <c r="N712" s="641"/>
      <c r="O712" s="641"/>
      <c r="P712" s="641"/>
      <c r="Q712" s="641"/>
      <c r="T712" s="3056">
        <v>7515</v>
      </c>
      <c r="U712" s="3063">
        <v>-8996.7900000000009</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379964.14</v>
      </c>
      <c r="G713" s="885">
        <f t="shared" si="278"/>
        <v>0</v>
      </c>
      <c r="H713" s="885">
        <f t="shared" si="278"/>
        <v>0</v>
      </c>
      <c r="I713" s="913">
        <f t="shared" si="278"/>
        <v>379964.14</v>
      </c>
      <c r="J713" s="914">
        <f t="shared" si="278"/>
        <v>799162.6</v>
      </c>
      <c r="K713" s="885">
        <f t="shared" si="278"/>
        <v>0</v>
      </c>
      <c r="L713" s="885">
        <f t="shared" si="278"/>
        <v>0</v>
      </c>
      <c r="M713" s="891">
        <f t="shared" si="278"/>
        <v>799162.6</v>
      </c>
      <c r="N713" s="641"/>
      <c r="O713" s="641"/>
      <c r="P713" s="641"/>
      <c r="Q713" s="641"/>
      <c r="T713" s="3056">
        <v>7516</v>
      </c>
      <c r="U713" s="3063">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56">
        <v>7517</v>
      </c>
      <c r="U714" s="3063">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56">
        <v>7518</v>
      </c>
      <c r="U715" s="3063">
        <v>-5015190.28</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56">
        <v>7519</v>
      </c>
      <c r="U716" s="3063">
        <v>-1032233.81</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56">
        <v>7523</v>
      </c>
      <c r="U717" s="3063">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56">
        <v>7525</v>
      </c>
      <c r="U718" s="3062">
        <v>-556243.94999999995</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56">
        <v>7526</v>
      </c>
      <c r="U719" s="3063"/>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56">
        <v>7527</v>
      </c>
      <c r="U720" s="3063">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56">
        <v>7528</v>
      </c>
      <c r="U721" s="3063">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56">
        <v>7529</v>
      </c>
      <c r="U722" s="3063">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56">
        <v>7533</v>
      </c>
      <c r="U723" s="3063"/>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56">
        <v>7535</v>
      </c>
      <c r="U724" s="3063">
        <v>799162.6</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56">
        <v>7536</v>
      </c>
      <c r="U725" s="3063">
        <v>160826.12</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56">
        <v>7537</v>
      </c>
      <c r="U726" s="3063">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56">
        <v>7538</v>
      </c>
      <c r="U727" s="3063">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56">
        <v>7539</v>
      </c>
      <c r="U728" s="3062">
        <v>638336.48</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56">
        <v>6829.5110000000004</v>
      </c>
      <c r="U729" s="931">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56">
        <v>6829.5119999999997</v>
      </c>
      <c r="U730" s="931">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56">
        <v>6829.5190000000002</v>
      </c>
      <c r="U731" s="931">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56">
        <v>6829.5309999999999</v>
      </c>
      <c r="U732" s="931">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56">
        <v>6829.5320000000002</v>
      </c>
      <c r="U733" s="931">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56">
        <v>6829.5330000000004</v>
      </c>
      <c r="U734" s="931">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56">
        <v>6829.5339999999997</v>
      </c>
      <c r="U735" s="931">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56">
        <v>6829.5349999999999</v>
      </c>
      <c r="U736" s="931">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1747379.72</v>
      </c>
      <c r="G737" s="2787">
        <v>0</v>
      </c>
      <c r="H737" s="2787">
        <v>0</v>
      </c>
      <c r="I737" s="921">
        <f t="shared" ref="I737:I753" si="285">(B737*F737+G737-H737)*B737</f>
        <v>1747379.72</v>
      </c>
      <c r="J737" s="922">
        <f t="shared" ref="J737:J753" si="286">VLOOKUP($D737,Sheet_Precf7,5,0)</f>
        <v>5463681.9299999997</v>
      </c>
      <c r="K737" s="2787">
        <v>0</v>
      </c>
      <c r="L737" s="2787">
        <v>0</v>
      </c>
      <c r="M737" s="923">
        <f t="shared" ref="M737:M753" si="287">($B737*J737+K737-L737)*$B737</f>
        <v>5463681.9299999997</v>
      </c>
      <c r="N737" s="641"/>
      <c r="O737" s="641"/>
      <c r="P737" s="641"/>
      <c r="Q737" s="641"/>
      <c r="T737" s="3056">
        <v>6829.5360000000001</v>
      </c>
      <c r="U737" s="931">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35987.15</v>
      </c>
      <c r="K738" s="918"/>
      <c r="L738" s="918"/>
      <c r="M738" s="923">
        <f t="shared" si="287"/>
        <v>35987.15</v>
      </c>
      <c r="N738" s="641"/>
      <c r="O738" s="641"/>
      <c r="P738" s="641"/>
      <c r="Q738" s="641"/>
      <c r="T738" s="3056">
        <v>6829.5370000000003</v>
      </c>
      <c r="U738" s="931">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-4831.16</v>
      </c>
      <c r="G739" s="918"/>
      <c r="H739" s="918"/>
      <c r="I739" s="921">
        <f t="shared" ref="I739" si="288">(B739*F739+G739-H739)*B739</f>
        <v>-4831.16</v>
      </c>
      <c r="J739" s="922">
        <f t="shared" si="286"/>
        <v>0</v>
      </c>
      <c r="K739" s="918"/>
      <c r="L739" s="918"/>
      <c r="M739" s="923">
        <f t="shared" ref="M739" si="289">($B739*J739+K739-L739)*$B739</f>
        <v>0</v>
      </c>
      <c r="N739" s="641"/>
      <c r="O739" s="641"/>
      <c r="P739" s="641"/>
      <c r="Q739" s="641"/>
      <c r="T739" s="3056">
        <v>6829.5389999999998</v>
      </c>
      <c r="U739" s="931">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1298.1600000000001</v>
      </c>
      <c r="G740" s="918"/>
      <c r="H740" s="918"/>
      <c r="I740" s="921">
        <f t="shared" si="285"/>
        <v>1298.1600000000001</v>
      </c>
      <c r="J740" s="922">
        <f t="shared" si="286"/>
        <v>507.85</v>
      </c>
      <c r="K740" s="918"/>
      <c r="L740" s="918"/>
      <c r="M740" s="923">
        <f t="shared" si="287"/>
        <v>507.85</v>
      </c>
      <c r="N740" s="641"/>
      <c r="O740" s="641"/>
      <c r="P740" s="641"/>
      <c r="Q740" s="641"/>
      <c r="T740" s="3056">
        <v>7506</v>
      </c>
      <c r="U740" s="3063">
        <v>163909.34</v>
      </c>
    </row>
    <row r="741" spans="1:21" ht="18">
      <c r="A741" s="1648">
        <f t="shared" si="273"/>
        <v>0</v>
      </c>
      <c r="B741" s="1647">
        <f t="shared" si="274"/>
        <v>1</v>
      </c>
      <c r="C741" s="1647">
        <f t="shared" si="272"/>
        <v>0</v>
      </c>
      <c r="D741" s="1659">
        <v>7506</v>
      </c>
      <c r="E741" s="888" t="str">
        <f t="shared" si="275"/>
        <v>无形资产摊销</v>
      </c>
      <c r="F741" s="917">
        <f t="shared" si="284"/>
        <v>218545.8</v>
      </c>
      <c r="G741" s="918"/>
      <c r="H741" s="918"/>
      <c r="I741" s="921">
        <f t="shared" si="285"/>
        <v>218545.8</v>
      </c>
      <c r="J741" s="922">
        <f t="shared" si="286"/>
        <v>0</v>
      </c>
      <c r="K741" s="918"/>
      <c r="L741" s="918"/>
      <c r="M741" s="923">
        <f t="shared" si="287"/>
        <v>0</v>
      </c>
      <c r="N741" s="641"/>
      <c r="O741" s="641"/>
      <c r="P741" s="641"/>
      <c r="Q741" s="641"/>
      <c r="T741" s="3056">
        <v>7507</v>
      </c>
      <c r="U741" s="3063">
        <v>0</v>
      </c>
    </row>
    <row r="742" spans="1:21"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c r="T742" s="3056">
        <v>7508</v>
      </c>
      <c r="U742" s="3063">
        <v>0</v>
      </c>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c r="T743" s="3056">
        <v>7509</v>
      </c>
      <c r="U743" s="3063">
        <v>0</v>
      </c>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c r="T744" s="3056">
        <v>7510</v>
      </c>
      <c r="U744" s="3063">
        <v>0</v>
      </c>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c r="T745" s="3056">
        <v>7511</v>
      </c>
      <c r="U745" s="3063">
        <v>0</v>
      </c>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c r="T746" s="3056">
        <v>7512</v>
      </c>
      <c r="U746" s="3063">
        <v>0</v>
      </c>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c r="T747" s="3056">
        <v>7515</v>
      </c>
      <c r="U747" s="3063">
        <v>-1154213.5900000001</v>
      </c>
    </row>
    <row r="748" spans="1:21" ht="18">
      <c r="A748" s="1648">
        <f t="shared" si="273"/>
        <v>0</v>
      </c>
      <c r="B748" s="1647">
        <f t="shared" si="274"/>
        <v>1</v>
      </c>
      <c r="C748" s="1647">
        <f t="shared" si="272"/>
        <v>0</v>
      </c>
      <c r="D748" s="1659">
        <v>7515</v>
      </c>
      <c r="E748" s="888" t="str">
        <f t="shared" si="275"/>
        <v>递延所得税资产减少</v>
      </c>
      <c r="F748" s="917">
        <f t="shared" si="284"/>
        <v>-1090974.7</v>
      </c>
      <c r="G748" s="918"/>
      <c r="H748" s="918"/>
      <c r="I748" s="921">
        <f t="shared" si="285"/>
        <v>-1090974.7</v>
      </c>
      <c r="J748" s="922">
        <f t="shared" si="286"/>
        <v>-8996.7900000000009</v>
      </c>
      <c r="K748" s="918"/>
      <c r="L748" s="918"/>
      <c r="M748" s="923">
        <f t="shared" si="287"/>
        <v>-8996.7900000000009</v>
      </c>
      <c r="N748" s="641"/>
      <c r="O748" s="641"/>
      <c r="P748" s="641"/>
      <c r="Q748" s="641"/>
      <c r="T748" s="3056">
        <v>7516</v>
      </c>
      <c r="U748" s="3063">
        <v>0</v>
      </c>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c r="T749" s="3056">
        <v>7517</v>
      </c>
      <c r="U749" s="3063">
        <v>0</v>
      </c>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c r="T750" s="3056">
        <v>7518</v>
      </c>
      <c r="U750" s="3063">
        <v>3953715.11</v>
      </c>
    </row>
    <row r="751" spans="1:21" ht="18">
      <c r="A751" s="1648">
        <f t="shared" si="273"/>
        <v>0</v>
      </c>
      <c r="B751" s="1647">
        <f t="shared" si="274"/>
        <v>1</v>
      </c>
      <c r="C751" s="1647">
        <f t="shared" si="272"/>
        <v>0</v>
      </c>
      <c r="D751" s="1659">
        <v>7518</v>
      </c>
      <c r="E751" s="888" t="str">
        <f t="shared" si="275"/>
        <v>经营性应收项目的减少</v>
      </c>
      <c r="F751" s="917">
        <f t="shared" si="284"/>
        <v>4227653.54</v>
      </c>
      <c r="G751" s="918"/>
      <c r="H751" s="918"/>
      <c r="I751" s="921">
        <f t="shared" si="285"/>
        <v>4227653.54</v>
      </c>
      <c r="J751" s="922">
        <f t="shared" si="286"/>
        <v>-5015190.28</v>
      </c>
      <c r="K751" s="918"/>
      <c r="L751" s="918"/>
      <c r="M751" s="923">
        <f t="shared" si="287"/>
        <v>-5015190.28</v>
      </c>
      <c r="N751" s="641"/>
      <c r="O751" s="641"/>
      <c r="P751" s="641"/>
      <c r="Q751" s="641"/>
      <c r="T751" s="3056">
        <v>7519</v>
      </c>
      <c r="U751" s="3063">
        <v>-5288529.8</v>
      </c>
    </row>
    <row r="752" spans="1:21" ht="18">
      <c r="A752" s="1648">
        <f t="shared" si="273"/>
        <v>0</v>
      </c>
      <c r="B752" s="1647">
        <f t="shared" si="274"/>
        <v>1</v>
      </c>
      <c r="C752" s="1647">
        <f t="shared" si="272"/>
        <v>0</v>
      </c>
      <c r="D752" s="1659">
        <v>7519</v>
      </c>
      <c r="E752" s="888" t="str">
        <f t="shared" si="275"/>
        <v>经营性应付项目的增加</v>
      </c>
      <c r="F752" s="917">
        <f t="shared" si="284"/>
        <v>-4780269.82</v>
      </c>
      <c r="G752" s="918"/>
      <c r="H752" s="918"/>
      <c r="I752" s="921">
        <f t="shared" si="285"/>
        <v>-4780269.82</v>
      </c>
      <c r="J752" s="922">
        <f t="shared" si="286"/>
        <v>-1032233.81</v>
      </c>
      <c r="K752" s="918"/>
      <c r="L752" s="918"/>
      <c r="M752" s="923">
        <f t="shared" si="287"/>
        <v>-1032233.81</v>
      </c>
      <c r="N752" s="641"/>
      <c r="O752" s="641"/>
      <c r="P752" s="641"/>
      <c r="Q752" s="641"/>
      <c r="T752" s="3056">
        <v>7523</v>
      </c>
      <c r="U752" s="3063">
        <v>0</v>
      </c>
    </row>
    <row r="753" spans="1:21"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c r="T753" s="3056">
        <v>7525</v>
      </c>
      <c r="U753" s="3062">
        <v>-777004.36</v>
      </c>
    </row>
    <row r="754" spans="1:21" ht="18">
      <c r="A754" s="1648" t="str">
        <f t="shared" si="273"/>
        <v>＝</v>
      </c>
      <c r="B754" s="1647">
        <f t="shared" si="274"/>
        <v>0</v>
      </c>
      <c r="C754" s="1647">
        <f t="shared" si="272"/>
        <v>0</v>
      </c>
      <c r="D754" s="2186">
        <v>7525</v>
      </c>
      <c r="E754" s="2187" t="str">
        <f t="shared" si="275"/>
        <v>经营活动产生的现金流量净额</v>
      </c>
      <c r="F754" s="884">
        <f>SUM(F737:F753)</f>
        <v>318801.53999999998</v>
      </c>
      <c r="G754" s="885">
        <f t="shared" ref="G754:M754" si="290">SUM(G737:G753)</f>
        <v>0</v>
      </c>
      <c r="H754" s="885">
        <f t="shared" si="290"/>
        <v>0</v>
      </c>
      <c r="I754" s="913">
        <f t="shared" si="290"/>
        <v>318801.53999999998</v>
      </c>
      <c r="J754" s="914">
        <f t="shared" si="290"/>
        <v>-556243.94999999995</v>
      </c>
      <c r="K754" s="885">
        <f t="shared" si="290"/>
        <v>0</v>
      </c>
      <c r="L754" s="885">
        <f t="shared" si="290"/>
        <v>0</v>
      </c>
      <c r="M754" s="891">
        <f t="shared" si="290"/>
        <v>-556243.94999999995</v>
      </c>
      <c r="N754" s="641"/>
      <c r="O754" s="641"/>
      <c r="P754" s="641"/>
      <c r="Q754" s="641"/>
      <c r="T754" s="3056">
        <v>7526</v>
      </c>
      <c r="U754" s="3063"/>
    </row>
    <row r="755" spans="1:21"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c r="T755" s="3056">
        <v>7527</v>
      </c>
      <c r="U755" s="3063">
        <v>0</v>
      </c>
    </row>
    <row r="756" spans="1:21"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c r="T756" s="3056">
        <v>7528</v>
      </c>
      <c r="U756" s="3063">
        <v>0</v>
      </c>
    </row>
    <row r="757" spans="1:21"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c r="T757" s="3056">
        <v>7529</v>
      </c>
      <c r="U757" s="3063">
        <v>0</v>
      </c>
    </row>
    <row r="758" spans="1:21"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c r="T758" s="3056">
        <v>7533</v>
      </c>
      <c r="U758" s="3063"/>
    </row>
    <row r="759" spans="1:21"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c r="T759" s="3056">
        <v>7535</v>
      </c>
      <c r="U759" s="3063">
        <v>22158.240000000002</v>
      </c>
    </row>
    <row r="760" spans="1:21" ht="18">
      <c r="A760" s="1648">
        <f t="shared" si="273"/>
        <v>0</v>
      </c>
      <c r="B760" s="1647">
        <f t="shared" si="274"/>
        <v>1</v>
      </c>
      <c r="C760" s="1647">
        <f t="shared" si="272"/>
        <v>0</v>
      </c>
      <c r="D760" s="1659">
        <v>7535</v>
      </c>
      <c r="E760" s="888" t="str">
        <f t="shared" si="275"/>
        <v>现金的期末余额</v>
      </c>
      <c r="F760" s="917">
        <f>VLOOKUP($D760,Sheet_Precf7,4,0)</f>
        <v>379964.14</v>
      </c>
      <c r="G760" s="918"/>
      <c r="H760" s="918"/>
      <c r="I760" s="921">
        <f>(B760*F760+G760-H760)*B760</f>
        <v>379964.14</v>
      </c>
      <c r="J760" s="922">
        <f>VLOOKUP($D760,Sheet_Precf7,5,0)</f>
        <v>799162.6</v>
      </c>
      <c r="K760" s="918"/>
      <c r="L760" s="918"/>
      <c r="M760" s="923">
        <f>($B760*J760+K760-L760)*$B760</f>
        <v>799162.6</v>
      </c>
      <c r="N760" s="641"/>
      <c r="O760" s="641"/>
      <c r="P760" s="641"/>
      <c r="Q760" s="641"/>
      <c r="T760" s="3056">
        <v>7536</v>
      </c>
      <c r="U760" s="3063">
        <v>799162.6</v>
      </c>
    </row>
    <row r="761" spans="1:21" ht="18">
      <c r="A761" s="1648">
        <f t="shared" si="273"/>
        <v>0</v>
      </c>
      <c r="B761" s="1647">
        <f t="shared" si="274"/>
        <v>1</v>
      </c>
      <c r="C761" s="1647">
        <f t="shared" si="272"/>
        <v>0</v>
      </c>
      <c r="D761" s="1659">
        <v>7536</v>
      </c>
      <c r="E761" s="888" t="str">
        <f t="shared" si="275"/>
        <v>减：现金的年初余额</v>
      </c>
      <c r="F761" s="917">
        <f>VLOOKUP($D761,Sheet_Precf7,4,0)</f>
        <v>799162.6</v>
      </c>
      <c r="G761" s="918"/>
      <c r="H761" s="918"/>
      <c r="I761" s="921">
        <f>(B761*F761+G761-H761)*B761</f>
        <v>799162.6</v>
      </c>
      <c r="J761" s="922">
        <f>VLOOKUP($D761,Sheet_Precf7,5,0)</f>
        <v>160826.12</v>
      </c>
      <c r="K761" s="918"/>
      <c r="L761" s="918"/>
      <c r="M761" s="923">
        <f>($B761*J761+K761-L761)*$B761</f>
        <v>160826.12</v>
      </c>
      <c r="N761" s="641"/>
      <c r="O761" s="641"/>
      <c r="P761" s="641"/>
      <c r="Q761" s="641"/>
      <c r="T761" s="3056">
        <v>7537</v>
      </c>
      <c r="U761" s="3063">
        <v>0</v>
      </c>
    </row>
    <row r="762" spans="1:21"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c r="T762" s="3056">
        <v>7538</v>
      </c>
      <c r="U762" s="3063">
        <v>0</v>
      </c>
    </row>
    <row r="763" spans="1:21"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c r="T763" s="3056">
        <v>7539</v>
      </c>
      <c r="U763" s="3062">
        <v>-777004.36</v>
      </c>
    </row>
    <row r="764" spans="1:21" ht="18">
      <c r="A764" s="1648" t="str">
        <f t="shared" si="273"/>
        <v>＝</v>
      </c>
      <c r="B764" s="1647">
        <f t="shared" si="274"/>
        <v>1</v>
      </c>
      <c r="C764" s="1647">
        <f t="shared" si="272"/>
        <v>0</v>
      </c>
      <c r="D764" s="2186">
        <v>7539</v>
      </c>
      <c r="E764" s="2187" t="str">
        <f t="shared" si="275"/>
        <v>现金及现金等价物净增加额</v>
      </c>
      <c r="F764" s="884">
        <f>SUM(F760,-F761,F762,-F763)</f>
        <v>-419198.46</v>
      </c>
      <c r="G764" s="885">
        <f>SUM(G760:G763)</f>
        <v>0</v>
      </c>
      <c r="H764" s="885">
        <f>SUM(H760:H763)</f>
        <v>0</v>
      </c>
      <c r="I764" s="913">
        <f>SUM(I760,-I761,I762,-I763)</f>
        <v>-419198.46</v>
      </c>
      <c r="J764" s="914">
        <f>SUM(J760,-J761,J762,-J763)</f>
        <v>638336.48</v>
      </c>
      <c r="K764" s="885">
        <f>SUM(K760:K763)</f>
        <v>0</v>
      </c>
      <c r="L764" s="885">
        <f>SUM(L760:L763)</f>
        <v>0</v>
      </c>
      <c r="M764" s="891">
        <f>SUM(M760,-M761,M762,-M763)</f>
        <v>638336.48</v>
      </c>
      <c r="N764" s="641"/>
      <c r="O764" s="641"/>
      <c r="P764" s="641"/>
      <c r="Q764" s="641"/>
      <c r="T764" s="3056">
        <v>6829.5110000000004</v>
      </c>
      <c r="U764" s="931">
        <v>0</v>
      </c>
    </row>
    <row r="765" spans="1:21"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c r="T765" s="3056">
        <v>6829.5119999999997</v>
      </c>
      <c r="U765" s="931">
        <v>0</v>
      </c>
    </row>
    <row r="766" spans="1:21"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c r="T766" s="3056">
        <v>6829.5190000000002</v>
      </c>
      <c r="U766" s="931">
        <v>0</v>
      </c>
    </row>
    <row r="767" spans="1:21"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c r="T767" s="3056">
        <v>6829.5309999999999</v>
      </c>
      <c r="U767" s="931">
        <v>0</v>
      </c>
    </row>
    <row r="768" spans="1:21"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c r="T768" s="3056">
        <v>6829.5320000000002</v>
      </c>
      <c r="U768" s="931">
        <v>0</v>
      </c>
    </row>
    <row r="769" spans="1:21"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c r="T769" s="3056">
        <v>6829.5330000000004</v>
      </c>
      <c r="U769" s="931">
        <v>0</v>
      </c>
    </row>
    <row r="770" spans="1:21"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c r="T770" s="3056">
        <v>6829.5339999999997</v>
      </c>
      <c r="U770" s="931">
        <v>0</v>
      </c>
    </row>
    <row r="771" spans="1:21"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c r="T771" s="3056">
        <v>6829.5349999999999</v>
      </c>
      <c r="U771" s="931">
        <v>0</v>
      </c>
    </row>
    <row r="772" spans="1:21"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c r="T772" s="3056">
        <v>6829.5360000000001</v>
      </c>
      <c r="U772" s="931">
        <v>0</v>
      </c>
    </row>
    <row r="773" spans="1:21"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c r="T773" s="3056">
        <v>6829.5370000000003</v>
      </c>
      <c r="U773" s="931">
        <v>0</v>
      </c>
    </row>
    <row r="774" spans="1:21"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c r="T774" s="3056">
        <v>6829.5389999999998</v>
      </c>
      <c r="U774" s="931">
        <v>0</v>
      </c>
    </row>
    <row r="775" spans="1:21"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c r="T775" s="3056" t="s">
        <v>981</v>
      </c>
      <c r="U775" s="931">
        <v>0</v>
      </c>
    </row>
    <row r="776" spans="1:21"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c r="T776" s="3056" t="s">
        <v>987</v>
      </c>
      <c r="U776" s="931">
        <v>0</v>
      </c>
    </row>
    <row r="777" spans="1:21"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c r="T777" s="3056">
        <v>6829.5349999999999</v>
      </c>
      <c r="U777" s="931">
        <v>0</v>
      </c>
    </row>
    <row r="778" spans="1:21"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c r="T778" s="3056">
        <v>6829.5360000000001</v>
      </c>
      <c r="U778" s="931">
        <v>0</v>
      </c>
    </row>
    <row r="779" spans="1:21"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c r="T779" s="3056">
        <v>6829.5370000000003</v>
      </c>
      <c r="U779" s="931">
        <v>0</v>
      </c>
    </row>
    <row r="780" spans="1:21"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c r="T780" s="3056">
        <v>6829.5389999999998</v>
      </c>
      <c r="U780" s="931">
        <v>0</v>
      </c>
    </row>
    <row r="781" spans="1:21"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21"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0</v>
      </c>
      <c r="G786" s="737"/>
      <c r="H786" s="737"/>
      <c r="I786" s="2199">
        <f ca="1">HYPERLINK("#'"&amp;$G$1&amp;"'!"&amp;ADDRESS(ROW(TB!I64),COLUMN(TB!I64),4),I64)</f>
        <v>0</v>
      </c>
      <c r="J786" s="2198">
        <f ca="1">HYPERLINK("#'"&amp;$G$1&amp;"'!"&amp;ADDRESS(ROW(TB!J64),COLUMN(TB!J64),4),J64)</f>
        <v>8268812.3099999996</v>
      </c>
      <c r="K786" s="734"/>
      <c r="L786" s="734"/>
      <c r="M786" s="2200">
        <f ca="1">HYPERLINK("#'"&amp;$G$1&amp;"'!"&amp;ADDRESS(ROW(TB!M64),COLUMN(TB!M64),4),M64)</f>
        <v>8268812.3099999996</v>
      </c>
    </row>
    <row r="787" spans="1:13" ht="18">
      <c r="A787" s="1650" t="s">
        <v>2565</v>
      </c>
      <c r="D787" s="932" t="s">
        <v>428</v>
      </c>
      <c r="E787" s="941" t="str">
        <f>E125</f>
        <v>负债和所有者权益</v>
      </c>
      <c r="F787" s="2201">
        <f ca="1">HYPERLINK("#'"&amp;$G$1&amp;"'!"&amp;ADDRESS(ROW(TB!F125),COLUMN(TB!F125),4),F125)</f>
        <v>1747379.72</v>
      </c>
      <c r="G787" s="737"/>
      <c r="H787" s="737"/>
      <c r="I787" s="2202">
        <f ca="1">HYPERLINK("#'"&amp;$G$1&amp;"'!"&amp;ADDRESS(ROW(TB!I125),COLUMN(TB!I125),4),I125)</f>
        <v>1747379.72</v>
      </c>
      <c r="J787" s="2201">
        <f ca="1">HYPERLINK("#'"&amp;$G$1&amp;"'!"&amp;ADDRESS(ROW(TB!J125),COLUMN(TB!J125),4),J125)</f>
        <v>8268812.3099999996</v>
      </c>
      <c r="K787" s="737"/>
      <c r="L787" s="737"/>
      <c r="M787" s="2203">
        <f ca="1">HYPERLINK("#'"&amp;$G$1&amp;"'!"&amp;ADDRESS(ROW(TB!M125),COLUMN(TB!M125),4),M125)</f>
        <v>8268812.3099999996</v>
      </c>
    </row>
    <row r="788" spans="1:13" ht="18">
      <c r="A788" s="1650" t="s">
        <v>2565</v>
      </c>
      <c r="D788" s="932"/>
      <c r="E788" s="942" t="s">
        <v>2580</v>
      </c>
      <c r="F788" s="943">
        <f ca="1">ROUND(F786-F787,2)</f>
        <v>-1747379.72</v>
      </c>
      <c r="G788" s="737"/>
      <c r="H788" s="737"/>
      <c r="I788" s="952">
        <f ca="1">ROUND(I786-I787,2)</f>
        <v>-1747379.72</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1747379.72</v>
      </c>
      <c r="G790" s="737"/>
      <c r="H790" s="737"/>
      <c r="I790" s="2199">
        <f ca="1">HYPERLINK("#'"&amp;$G$1&amp;"'!"&amp;ADDRESS(ROW(TB!I163),COLUMN(TB!I163),4),I163)</f>
        <v>1747379.72</v>
      </c>
      <c r="J790" s="2204">
        <f ca="1">HYPERLINK("#'"&amp;$G$1&amp;"'!"&amp;ADDRESS(ROW(TB!J163),COLUMN(TB!J163),4),J163)</f>
        <v>5463681.9299999997</v>
      </c>
      <c r="K790" s="737"/>
      <c r="L790" s="737"/>
      <c r="M790" s="2200">
        <f ca="1">HYPERLINK("#'"&amp;$G$1&amp;"'!"&amp;ADDRESS(ROW(TB!M163),COLUMN(TB!M163),4),M163)</f>
        <v>5463681.9299999997</v>
      </c>
    </row>
    <row r="791" spans="1:13" ht="18">
      <c r="A791" s="1650" t="s">
        <v>2565</v>
      </c>
      <c r="D791" s="932" t="s">
        <v>441</v>
      </c>
      <c r="E791" s="941" t="str">
        <f>E169</f>
        <v>归属于母公司所有者的净利润</v>
      </c>
      <c r="F791" s="2204">
        <f ca="1">HYPERLINK("#'"&amp;$G$1&amp;"'!"&amp;ADDRESS(ROW(TB!F169),COLUMN(TB!F169),4),F169)</f>
        <v>1747379.72</v>
      </c>
      <c r="G791" s="737"/>
      <c r="H791" s="737"/>
      <c r="I791" s="2199">
        <f ca="1">HYPERLINK("#'"&amp;$G$1&amp;"'!"&amp;ADDRESS(ROW(TB!I169),COLUMN(TB!I169),4),I169)</f>
        <v>1747379.72</v>
      </c>
      <c r="J791" s="2204">
        <f ca="1">HYPERLINK("#'"&amp;$G$1&amp;"'!"&amp;ADDRESS(ROW(TB!J169),COLUMN(TB!J169),4),J169)</f>
        <v>5463681.9299999997</v>
      </c>
      <c r="K791" s="737"/>
      <c r="L791" s="737"/>
      <c r="M791" s="2200">
        <f ca="1">HYPERLINK("#'"&amp;$G$1&amp;"'!"&amp;ADDRESS(ROW(TB!M169),COLUMN(TB!M169),4),M169)</f>
        <v>5463681.9299999997</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1747379.72</v>
      </c>
      <c r="G795" s="737"/>
      <c r="H795" s="737"/>
      <c r="I795" s="2199"/>
      <c r="J795" s="2204">
        <f ca="1">HYPERLINK("#'"&amp;$G$1&amp;"'!"&amp;ADDRESS(ROW(TB!J163),COLUMN(TB!J163),4),J163)</f>
        <v>5463681.9299999997</v>
      </c>
      <c r="K795" s="737"/>
      <c r="L795" s="737"/>
      <c r="M795" s="2200"/>
    </row>
    <row r="796" spans="1:13" ht="18">
      <c r="A796" s="1650" t="s">
        <v>2565</v>
      </c>
      <c r="D796" s="932" t="s">
        <v>441</v>
      </c>
      <c r="E796" s="941" t="str">
        <f>E165</f>
        <v>持续经营净利润</v>
      </c>
      <c r="F796" s="2204">
        <f ca="1">HYPERLINK("#'"&amp;$G$1&amp;"'!"&amp;ADDRESS(ROW(TB!F165),COLUMN(TB!F165),4),F165)</f>
        <v>1747379.72</v>
      </c>
      <c r="G796" s="737"/>
      <c r="H796" s="737"/>
      <c r="I796" s="2199"/>
      <c r="J796" s="2204">
        <f ca="1">HYPERLINK("#'"&amp;$G$1&amp;"'!"&amp;ADDRESS(ROW(TB!J165),COLUMN(TB!J165),4),J165)</f>
        <v>5463681.9299999997</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1747379.72</v>
      </c>
      <c r="G800" s="737"/>
      <c r="H800" s="737"/>
      <c r="I800" s="2199">
        <f ca="1">HYPERLINK("#'"&amp;$G$1&amp;"'!"&amp;ADDRESS(ROW(TB!I192),COLUMN(TB!I192),4),I192)</f>
        <v>1747379.72</v>
      </c>
      <c r="J800" s="2204">
        <f ca="1">HYPERLINK("#'"&amp;$G$1&amp;"'!"&amp;ADDRESS(ROW(TB!J192),COLUMN(TB!J192),4),J192)</f>
        <v>5463681.9299999997</v>
      </c>
      <c r="K800" s="737"/>
      <c r="L800" s="737"/>
      <c r="M800" s="2200">
        <f ca="1">HYPERLINK("#'"&amp;$G$1&amp;"'!"&amp;ADDRESS(ROW(TB!M192),COLUMN(TB!M192),4),M192)</f>
        <v>5463681.9299999997</v>
      </c>
    </row>
    <row r="801" spans="1:13" ht="24">
      <c r="A801" s="1650" t="s">
        <v>2565</v>
      </c>
      <c r="D801" s="932" t="s">
        <v>441</v>
      </c>
      <c r="E801" s="941" t="str">
        <f t="shared" si="301"/>
        <v>归属于母公司所有者的综合收益总额</v>
      </c>
      <c r="F801" s="2204">
        <f ca="1">HYPERLINK("#'"&amp;$G$1&amp;"'!"&amp;ADDRESS(ROW(TB!F193),COLUMN(TB!F193),4),F193)</f>
        <v>1747379.72</v>
      </c>
      <c r="G801" s="737"/>
      <c r="H801" s="737"/>
      <c r="I801" s="2199">
        <f ca="1">HYPERLINK("#'"&amp;$G$1&amp;"'!"&amp;ADDRESS(ROW(TB!I193),COLUMN(TB!I193),4),I193)</f>
        <v>1747379.72</v>
      </c>
      <c r="J801" s="2204">
        <f ca="1">HYPERLINK("#'"&amp;$G$1&amp;"'!"&amp;ADDRESS(ROW(TB!J193),COLUMN(TB!J193),4),J193)</f>
        <v>5463681.9299999997</v>
      </c>
      <c r="K801" s="737"/>
      <c r="L801" s="737"/>
      <c r="M801" s="2200">
        <f ca="1">HYPERLINK("#'"&amp;$G$1&amp;"'!"&amp;ADDRESS(ROW(TB!M193),COLUMN(TB!M193),4),M193)</f>
        <v>5463681.9299999997</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1747379.72</v>
      </c>
      <c r="G805" s="737"/>
      <c r="H805" s="737"/>
      <c r="I805" s="2199">
        <f ca="1">HYPERLINK("#'"&amp;$G$1&amp;"'!"&amp;ADDRESS(ROW(TB!I169),COLUMN(TB!I169),4),I169)</f>
        <v>1747379.72</v>
      </c>
      <c r="J805" s="2204">
        <f ca="1">HYPERLINK("#'"&amp;$G$1&amp;"'!"&amp;ADDRESS(ROW(TB!J169),COLUMN(TB!J169),4),J169)</f>
        <v>5463681.9299999997</v>
      </c>
      <c r="K805" s="737"/>
      <c r="L805" s="737"/>
      <c r="M805" s="2200">
        <f ca="1">HYPERLINK("#'"&amp;$G$1&amp;"'!"&amp;ADDRESS(ROW(TB!M169),COLUMN(TB!M169),4),M169)</f>
        <v>5463681.9299999997</v>
      </c>
    </row>
    <row r="806" spans="1:13" ht="24">
      <c r="A806" s="1650" t="s">
        <v>2565</v>
      </c>
      <c r="D806" s="932" t="s">
        <v>442</v>
      </c>
      <c r="E806" s="941" t="str">
        <f>E567</f>
        <v>未分配利润_综合收益总额增加权益</v>
      </c>
      <c r="F806" s="2204">
        <f ca="1">HYPERLINK("#'"&amp;$G$1&amp;"'!"&amp;ADDRESS(ROW(TB!F567),COLUMN(TB!F567),4),F567)</f>
        <v>1747379.72</v>
      </c>
      <c r="G806" s="737"/>
      <c r="H806" s="737"/>
      <c r="I806" s="2202">
        <f ca="1">HYPERLINK("#'"&amp;$G$1&amp;"'!"&amp;ADDRESS(ROW(TB!I567),COLUMN(TB!I567),4),I567)</f>
        <v>1747379.72</v>
      </c>
      <c r="J806" s="2204">
        <f ca="1">HYPERLINK("#'"&amp;$G$1&amp;"'!"&amp;ADDRESS(ROW(TB!J567),COLUMN(TB!J567),4),J567)</f>
        <v>5463681.9299999997</v>
      </c>
      <c r="K806" s="737"/>
      <c r="L806" s="737"/>
      <c r="M806" s="2200">
        <f ca="1">HYPERLINK("#'"&amp;$G$1&amp;"'!"&amp;ADDRESS(ROW(TB!M567),COLUMN(TB!M567),4),M567)</f>
        <v>5463681.9299999997</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1747379.72</v>
      </c>
      <c r="G813" s="737"/>
      <c r="H813" s="737"/>
      <c r="I813" s="2199">
        <f ca="1">HYPERLINK("#'"&amp;$G$1&amp;"'!"&amp;ADDRESS(ROW(TB!I192),COLUMN(TB!I192),4),I192)</f>
        <v>1747379.72</v>
      </c>
      <c r="J813" s="2204">
        <f ca="1">HYPERLINK("#'"&amp;$G$1&amp;"'!"&amp;ADDRESS(ROW(TB!J192),COLUMN(TB!J192),4),J192)</f>
        <v>5463681.9299999997</v>
      </c>
      <c r="K813" s="737"/>
      <c r="L813" s="737"/>
      <c r="M813" s="2200">
        <f ca="1">HYPERLINK("#'"&amp;$G$1&amp;"'!"&amp;ADDRESS(ROW(TB!M192),COLUMN(TB!M192),4),M192)</f>
        <v>5463681.9299999997</v>
      </c>
    </row>
    <row r="814" spans="1:13" ht="24">
      <c r="A814" s="1650" t="s">
        <v>2565</v>
      </c>
      <c r="D814" s="932" t="s">
        <v>442</v>
      </c>
      <c r="E814" s="941" t="str">
        <f>E212</f>
        <v>所有者权益_综合收益总额增加权益</v>
      </c>
      <c r="F814" s="2204">
        <f ca="1">HYPERLINK("#'"&amp;$G$1&amp;"'!"&amp;ADDRESS(ROW(TB!F212),COLUMN(TB!F212),4),F212)</f>
        <v>1747379.72</v>
      </c>
      <c r="G814" s="737"/>
      <c r="H814" s="737"/>
      <c r="I814" s="2202">
        <f ca="1">HYPERLINK("#'"&amp;$G$1&amp;"'!"&amp;ADDRESS(ROW(TB!I212),COLUMN(TB!I212),4),I212)</f>
        <v>1747379.72</v>
      </c>
      <c r="J814" s="2204">
        <f ca="1">HYPERLINK("#'"&amp;$G$1&amp;"'!"&amp;ADDRESS(ROW(TB!J212),COLUMN(TB!J212),4),J212)</f>
        <v>5463681.9299999997</v>
      </c>
      <c r="K814" s="737"/>
      <c r="L814" s="737"/>
      <c r="M814" s="2200">
        <f ca="1">HYPERLINK("#'"&amp;$G$1&amp;"'!"&amp;ADDRESS(ROW(TB!M212),COLUMN(TB!M212),4),M212)</f>
        <v>5463681.9299999997</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1747379.72</v>
      </c>
      <c r="G821" s="737"/>
      <c r="H821" s="737"/>
      <c r="I821" s="2199">
        <f ca="1">HYPERLINK("#'"&amp;$G$1&amp;"'!"&amp;ADDRESS(ROW(TB!I163),COLUMN(TB!I163),4),I163)</f>
        <v>1747379.72</v>
      </c>
      <c r="J821" s="2204">
        <f ca="1">HYPERLINK("#'"&amp;$G$1&amp;"'!"&amp;ADDRESS(ROW(TB!J163),COLUMN(TB!J163),4),J163)</f>
        <v>5463681.9299999997</v>
      </c>
      <c r="K821" s="737"/>
      <c r="L821" s="737"/>
      <c r="M821" s="2200">
        <f ca="1">HYPERLINK("#'"&amp;$G$1&amp;"'!"&amp;ADDRESS(ROW(TB!M163),COLUMN(TB!M163),4),M163)</f>
        <v>5463681.9299999997</v>
      </c>
    </row>
    <row r="822" spans="1:13" ht="18">
      <c r="A822" s="1650" t="s">
        <v>2565</v>
      </c>
      <c r="D822" s="932" t="s">
        <v>578</v>
      </c>
      <c r="E822" s="941" t="str">
        <f>E737</f>
        <v>净利润金额</v>
      </c>
      <c r="F822" s="2204">
        <f ca="1">HYPERLINK("#'"&amp;$G$1&amp;"'!"&amp;ADDRESS(ROW(TB!F737),COLUMN(TB!F737),4),F737)</f>
        <v>1747379.72</v>
      </c>
      <c r="G822" s="737"/>
      <c r="H822" s="737"/>
      <c r="I822" s="2202">
        <f ca="1">HYPERLINK("#'"&amp;$G$1&amp;"'!"&amp;ADDRESS(ROW(TB!I737),COLUMN(TB!I737),4),I737)</f>
        <v>1747379.72</v>
      </c>
      <c r="J822" s="2204">
        <f ca="1">HYPERLINK("#'"&amp;$G$1&amp;"'!"&amp;ADDRESS(ROW(TB!J737),COLUMN(TB!J737),4),J737)</f>
        <v>5463681.9299999997</v>
      </c>
      <c r="K822" s="737"/>
      <c r="L822" s="737"/>
      <c r="M822" s="2200">
        <f ca="1">HYPERLINK("#'"&amp;$G$1&amp;"'!"&amp;ADDRESS(ROW(TB!M737),COLUMN(TB!M737),4),M737)</f>
        <v>5463681.9299999997</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318801.53999999998</v>
      </c>
      <c r="G825" s="737"/>
      <c r="H825" s="737"/>
      <c r="I825" s="2199">
        <f ca="1">HYPERLINK("#'"&amp;$G$1&amp;"'!"&amp;ADDRESS(ROW(TB!I683),COLUMN(TB!I683),4),I683)</f>
        <v>318801.53999999998</v>
      </c>
      <c r="J825" s="2204">
        <f ca="1">HYPERLINK("#'"&amp;$G$1&amp;"'!"&amp;ADDRESS(ROW(TB!J683),COLUMN(TB!J683),4),J683)</f>
        <v>-556243.94999999995</v>
      </c>
      <c r="K825" s="737"/>
      <c r="L825" s="737"/>
      <c r="M825" s="2200">
        <f ca="1">HYPERLINK("#'"&amp;$G$1&amp;"'!"&amp;ADDRESS(ROW(TB!M683),COLUMN(TB!M683),4),M683)</f>
        <v>-556243.94999999995</v>
      </c>
    </row>
    <row r="826" spans="1:13" ht="18">
      <c r="A826" s="1650" t="s">
        <v>2565</v>
      </c>
      <c r="D826" s="932" t="s">
        <v>578</v>
      </c>
      <c r="E826" s="941" t="str">
        <f>E754</f>
        <v>经营活动产生的现金流量净额</v>
      </c>
      <c r="F826" s="2204">
        <f ca="1">HYPERLINK("#'"&amp;$G$1&amp;"'!"&amp;ADDRESS(ROW(TB!F754),COLUMN(TB!F754),4),F754)</f>
        <v>318801.53999999998</v>
      </c>
      <c r="G826" s="737"/>
      <c r="H826" s="737"/>
      <c r="I826" s="2202">
        <f ca="1">HYPERLINK("#'"&amp;$G$1&amp;"'!"&amp;ADDRESS(ROW(TB!I754),COLUMN(TB!I754),4),I754)</f>
        <v>318801.53999999998</v>
      </c>
      <c r="J826" s="2204">
        <f ca="1">HYPERLINK("#'"&amp;$G$1&amp;"'!"&amp;ADDRESS(ROW(TB!J754),COLUMN(TB!J754),4),J754)</f>
        <v>-556243.94999999995</v>
      </c>
      <c r="K826" s="737"/>
      <c r="L826" s="737"/>
      <c r="M826" s="2200">
        <f ca="1">HYPERLINK("#'"&amp;$G$1&amp;"'!"&amp;ADDRESS(ROW(TB!M754),COLUMN(TB!M754),4),M754)</f>
        <v>-556243.94999999995</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-419198.46</v>
      </c>
      <c r="G829" s="737"/>
      <c r="H829" s="737"/>
      <c r="I829" s="2199">
        <f ca="1">HYPERLINK("#'"&amp;$G$1&amp;"'!"&amp;ADDRESS(ROW(TB!I711),COLUMN(TB!I711),4),I711)</f>
        <v>-419198.46</v>
      </c>
      <c r="J829" s="2204">
        <f ca="1">HYPERLINK("#'"&amp;$G$1&amp;"'!"&amp;ADDRESS(ROW(TB!J711),COLUMN(TB!J711),4),J711)</f>
        <v>638336.48</v>
      </c>
      <c r="K829" s="737"/>
      <c r="L829" s="737"/>
      <c r="M829" s="2200">
        <f ca="1">HYPERLINK("#'"&amp;$G$1&amp;"'!"&amp;ADDRESS(ROW(TB!M711),COLUMN(TB!M711),4),M711)</f>
        <v>638336.48</v>
      </c>
    </row>
    <row r="830" spans="1:13" ht="18">
      <c r="A830" s="1650" t="s">
        <v>2565</v>
      </c>
      <c r="D830" s="932" t="s">
        <v>578</v>
      </c>
      <c r="E830" s="941" t="str">
        <f>E764</f>
        <v>现金及现金等价物净增加额</v>
      </c>
      <c r="F830" s="2204">
        <f ca="1">HYPERLINK("#'"&amp;$G$1&amp;"'!"&amp;ADDRESS(ROW(TB!F764),COLUMN(TB!F764),4),F764)</f>
        <v>-419198.46</v>
      </c>
      <c r="G830" s="737"/>
      <c r="H830" s="737"/>
      <c r="I830" s="2202">
        <f ca="1">HYPERLINK("#'"&amp;$G$1&amp;"'!"&amp;ADDRESS(ROW(TB!I764),COLUMN(TB!I764),4),I764)</f>
        <v>-419198.46</v>
      </c>
      <c r="J830" s="2204">
        <f ca="1">HYPERLINK("#'"&amp;$G$1&amp;"'!"&amp;ADDRESS(ROW(TB!J764),COLUMN(TB!J764),4),J764)</f>
        <v>638336.48</v>
      </c>
      <c r="K830" s="737"/>
      <c r="L830" s="737"/>
      <c r="M830" s="2200">
        <f ca="1">HYPERLINK("#'"&amp;$G$1&amp;"'!"&amp;ADDRESS(ROW(TB!M764),COLUMN(TB!M764),4),M764)</f>
        <v>638336.48</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1000000</v>
      </c>
      <c r="K833" s="737"/>
      <c r="L833" s="737"/>
      <c r="M833" s="2200">
        <f ca="1">HYPERLINK("#'"&amp;$G$1&amp;"'!"&amp;ADDRESS(ROW(TB!M111),COLUMN(TB!M111),4),M111)</f>
        <v>1000000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1000000</v>
      </c>
      <c r="K834" s="737"/>
      <c r="L834" s="737"/>
      <c r="M834" s="2200">
        <f ca="1">HYPERLINK("#'"&amp;$G$1&amp;"'!"&amp;ADDRESS(ROW(TB!M267),COLUMN(TB!M267),4),M267)</f>
        <v>1000000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1747379.72</v>
      </c>
      <c r="G869" s="737"/>
      <c r="H869" s="737"/>
      <c r="I869" s="2199">
        <f ca="1">HYPERLINK("#'"&amp;$G$1&amp;"'!"&amp;ADDRESS(ROW(TB!I121),COLUMN(TB!I121),4),I121)</f>
        <v>1747379.72</v>
      </c>
      <c r="J869" s="2204">
        <f ca="1">HYPERLINK("#'"&amp;$G$1&amp;"'!"&amp;ADDRESS(ROW(TB!J121),COLUMN(TB!J121),4),J121)</f>
        <v>-2433969.27</v>
      </c>
      <c r="K869" s="737"/>
      <c r="L869" s="737"/>
      <c r="M869" s="2200">
        <f ca="1">HYPERLINK("#'"&amp;$G$1&amp;"'!"&amp;ADDRESS(ROW(TB!M121),COLUMN(TB!M121),4),M121)</f>
        <v>-2433969.27</v>
      </c>
    </row>
    <row r="870" spans="1:13" ht="18">
      <c r="A870" s="1650" t="s">
        <v>2565</v>
      </c>
      <c r="D870" s="932" t="s">
        <v>442</v>
      </c>
      <c r="E870" s="941" t="str">
        <f>E589</f>
        <v>未分配利润_本期期末余额</v>
      </c>
      <c r="F870" s="2204">
        <f ca="1">HYPERLINK("#'"&amp;$G$1&amp;"'!"&amp;ADDRESS(ROW(TB!F589),COLUMN(TB!F589),4),F589)</f>
        <v>1747379.72</v>
      </c>
      <c r="G870" s="737"/>
      <c r="H870" s="737"/>
      <c r="I870" s="2202">
        <f ca="1">HYPERLINK("#'"&amp;$G$1&amp;"'!"&amp;ADDRESS(ROW(TB!I589),COLUMN(TB!I589),4),I589)</f>
        <v>1747379.72</v>
      </c>
      <c r="J870" s="2204">
        <f ca="1">HYPERLINK("#'"&amp;$G$1&amp;"'!"&amp;ADDRESS(ROW(TB!J589),COLUMN(TB!J589),4),J589)</f>
        <v>-2433969.27</v>
      </c>
      <c r="K870" s="737"/>
      <c r="L870" s="737"/>
      <c r="M870" s="2200">
        <f ca="1">HYPERLINK("#'"&amp;$G$1&amp;"'!"&amp;ADDRESS(ROW(TB!M589),COLUMN(TB!M589),4),M589)</f>
        <v>-2433969.27</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-1747379.72</v>
      </c>
      <c r="G877" s="960"/>
      <c r="H877" s="960"/>
      <c r="I877" s="961">
        <f ca="1">SUMIF($E$786:$E$876,"差       异",I786:I876)</f>
        <v>-1747379.72</v>
      </c>
      <c r="J877" s="959">
        <f ca="1">SUMIF($E$786:$E$876,"差       异",J786:J876)</f>
        <v>0</v>
      </c>
      <c r="K877" s="960"/>
      <c r="L877" s="960"/>
      <c r="M877" s="962">
        <f ca="1">SUMIF($E$786:$E$876,"差       异",M786:M876)</f>
        <v>0</v>
      </c>
    </row>
  </sheetData>
  <sheetProtection algorithmName="SHA-512" hashValue="r+54B8CT9uAuBfDhlsDkqxUqv5gn9d0vLwIlDNPIuTXZbK5vVpYWlMHvTixqzqiDrKeTl0xXsNy59M1Cv7L5Tg==" saltValue="9dPnaiGgINaW+VccQHwTVA==" spinCount="100000" sheet="1" scenarios="1" formatCells="0" autoFilter="0"/>
  <phoneticPr fontId="163" type="noConversion"/>
  <conditionalFormatting sqref="E9:E10">
    <cfRule type="expression" dxfId="4076" priority="93" stopIfTrue="1">
      <formula>$A9="："</formula>
    </cfRule>
    <cfRule type="expression" dxfId="4075"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4"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3" priority="3" stopIfTrue="1" operator="notEqual">
      <formula>0</formula>
    </cfRule>
  </conditionalFormatting>
  <conditionalFormatting sqref="F798 M798 I798:J798">
    <cfRule type="cellIs" dxfId="4072" priority="2" stopIfTrue="1" operator="notEqual">
      <formula>0</formula>
    </cfRule>
  </conditionalFormatting>
  <conditionalFormatting sqref="F798 M798 I798:J798">
    <cfRule type="cellIs" dxfId="4071"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K15" sqref="K15"/>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t="e">
        <f>LARGE(I8:I40,1)</f>
        <v>#NUM!</v>
      </c>
      <c r="G4" s="2750"/>
      <c r="H4" s="645"/>
      <c r="I4" s="661" t="s">
        <v>2520</v>
      </c>
      <c r="J4" s="662" t="str">
        <f>Lead!$C$5</f>
        <v>北京鼎竑信息技术有限公司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6590</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
      </c>
      <c r="F9" s="2749" t="e">
        <f t="shared" ref="F9:F38" si="4">VALUE(IF(E9="",E8&amp;"."&amp;TEXT((ROW()-8),"000"),E9&amp;"."&amp;TEXT((ROW()-8),"000")))</f>
        <v>#VALUE!</v>
      </c>
      <c r="G9" s="2759" t="str">
        <f t="shared" ref="G9:G38" si="5">IF(TRIM($J9&amp;$K9&amp;$O9&amp;$P9)="","","本期")</f>
        <v/>
      </c>
      <c r="H9" s="649"/>
      <c r="I9" s="687"/>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3104">
        <v>1250678.67</v>
      </c>
      <c r="W10" s="3103"/>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t="str">
        <f t="shared" si="11"/>
        <v/>
      </c>
      <c r="K11" s="689"/>
      <c r="L11" s="693"/>
      <c r="M11" s="693"/>
      <c r="N11" s="693"/>
      <c r="O11" s="193"/>
      <c r="P11" s="215"/>
      <c r="Q11" s="735" t="str">
        <f t="shared" si="6"/>
        <v/>
      </c>
      <c r="R11" s="732" t="str">
        <f t="shared" si="7"/>
        <v/>
      </c>
      <c r="S11" s="732"/>
      <c r="T11" s="732"/>
      <c r="U11" s="732"/>
      <c r="V11" s="3104"/>
      <c r="W11" s="3103">
        <v>1205343.8799999999</v>
      </c>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3104"/>
      <c r="W12" s="3103">
        <v>45334.79</v>
      </c>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3U9RgqDxHyvUjC8R/Cvl1DDlHJ/IjMUtyMis1XVhMQa8F8TJ2bgdJlA2Wzu7Q8y+3bNrisZMU2IfmHJRQRxCxg==" saltValue="YpxdBYtdwVI6dcsTwRKLog==" spinCount="100000" sheet="1" scenarios="1" formatCells="0" autoFilter="0"/>
  <autoFilter ref="A8:AE38"/>
  <phoneticPr fontId="163" type="noConversion"/>
  <conditionalFormatting sqref="P4:Q4">
    <cfRule type="expression" dxfId="4070" priority="2" stopIfTrue="1">
      <formula>$P4&lt;&gt;""</formula>
    </cfRule>
  </conditionalFormatting>
  <conditionalFormatting sqref="AE9:AE39">
    <cfRule type="expression" dxfId="4069" priority="11" stopIfTrue="1">
      <formula>AE9&lt;&gt;""</formula>
    </cfRule>
  </conditionalFormatting>
  <conditionalFormatting sqref="B9:B38">
    <cfRule type="expression" dxfId="4068" priority="1">
      <formula>ISERROR($B9)</formula>
    </cfRule>
  </conditionalFormatting>
  <dataValidations xWindow="186" yWindow="532"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北京鼎竑信息技术有限公司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6592</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6600</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4067" priority="2" stopIfTrue="1">
      <formula>$P4&lt;&gt;""</formula>
    </cfRule>
  </conditionalFormatting>
  <conditionalFormatting sqref="R9:R38">
    <cfRule type="expression" dxfId="4066" priority="9" stopIfTrue="1">
      <formula>R9&lt;&gt;""</formula>
    </cfRule>
  </conditionalFormatting>
  <conditionalFormatting sqref="B9:B38">
    <cfRule type="expression" dxfId="4065"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北京鼎竑信息技术有限公司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6593</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6795</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14"/>
      <c r="N44" s="3115"/>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16"/>
      <c r="N45" s="3117"/>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16"/>
      <c r="N46" s="3117"/>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16"/>
      <c r="N47" s="3117"/>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16"/>
      <c r="N48" s="3117"/>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12"/>
      <c r="N49" s="3113"/>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EymvqqUE4a02O74NCRc5T06zJl9+P2qxtEfo9jSfPoYeMaO6kTlF7jivTrvYhbP88hjIrevl/KpVIkESEW2ipg==" saltValue="aw9lI2xO0mvegxLZdsXVTw=="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4" priority="2" stopIfTrue="1">
      <formula>$P4&lt;&gt;""</formula>
    </cfRule>
  </conditionalFormatting>
  <conditionalFormatting sqref="AE9:AE39">
    <cfRule type="expression" dxfId="4063" priority="5" stopIfTrue="1">
      <formula>AE9&lt;&gt;""</formula>
    </cfRule>
  </conditionalFormatting>
  <conditionalFormatting sqref="B9:B38">
    <cfRule type="expression" dxfId="4062"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北京鼎竑信息技术有限公司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6592</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1" priority="2" stopIfTrue="1">
      <formula>$P4&lt;&gt;""</formula>
    </cfRule>
  </conditionalFormatting>
  <conditionalFormatting sqref="AE9:AE39">
    <cfRule type="expression" dxfId="4060" priority="11" stopIfTrue="1">
      <formula>AE9&lt;&gt;""</formula>
    </cfRule>
  </conditionalFormatting>
  <conditionalFormatting sqref="B9:B38">
    <cfRule type="expression" dxfId="4059"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9" workbookViewId="0">
      <selection activeCell="L48" sqref="L48"/>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8" t="s">
        <v>5807</v>
      </c>
      <c r="F2" s="3118"/>
      <c r="G2" s="3118"/>
      <c r="H2" s="3118"/>
      <c r="I2" s="3118"/>
      <c r="J2" s="3118"/>
      <c r="K2" s="3118"/>
      <c r="L2" s="3118"/>
      <c r="M2" s="1664"/>
      <c r="N2" s="1664"/>
      <c r="O2" s="1664"/>
      <c r="P2" s="1664"/>
    </row>
    <row r="3" spans="1:16" ht="27" customHeight="1">
      <c r="A3" s="2840"/>
      <c r="B3" s="2840"/>
      <c r="C3" s="2840"/>
      <c r="D3" s="2840"/>
      <c r="E3" s="3119" t="str">
        <f>TEXT(Lead!$F$5,"yyyy 年 m 月 d 日")</f>
        <v>2019 年 12 月 31 日</v>
      </c>
      <c r="F3" s="3119"/>
      <c r="G3" s="3119"/>
      <c r="H3" s="3119"/>
      <c r="I3" s="3119"/>
      <c r="J3" s="3119"/>
      <c r="K3" s="3119"/>
      <c r="L3" s="3119"/>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编制单位：北京鼎竑信息技术有限公司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0</v>
      </c>
      <c r="H8" s="2018">
        <f t="shared" si="4"/>
        <v>799162.6</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5191249.5199999996</v>
      </c>
      <c r="I13" s="2019" t="str">
        <f t="shared" si="5"/>
        <v>应付账款</v>
      </c>
      <c r="J13" s="2016"/>
      <c r="K13" s="2017">
        <f t="shared" si="6"/>
        <v>0</v>
      </c>
      <c r="L13" s="2029">
        <f t="shared" si="7"/>
        <v>0</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214017.93</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0</v>
      </c>
      <c r="L15" s="2029">
        <f t="shared" si="7"/>
        <v>1303107.67</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70022.3</v>
      </c>
      <c r="I16" s="2019" t="str">
        <f t="shared" si="5"/>
        <v>应交税费</v>
      </c>
      <c r="J16" s="2016"/>
      <c r="K16" s="2017">
        <f t="shared" si="6"/>
        <v>0</v>
      </c>
      <c r="L16" s="2029">
        <f t="shared" si="7"/>
        <v>236130.57</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0</v>
      </c>
      <c r="L17" s="2029">
        <f t="shared" si="7"/>
        <v>7949525.4100000001</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0</v>
      </c>
      <c r="H23" s="2018">
        <f>SUM(H8:H22)-SUM(H17,H18)</f>
        <v>6060434.4199999999</v>
      </c>
      <c r="I23" s="2021" t="str">
        <f t="shared" si="5"/>
        <v>流动负债合计</v>
      </c>
      <c r="J23" s="2016"/>
      <c r="K23" s="2017">
        <f>SUM(K8:K22)-SUM(K18,K19)</f>
        <v>0</v>
      </c>
      <c r="L23" s="2029">
        <f>SUM(L8:L22)-SUM(L18,L19)</f>
        <v>9702781.5800000001</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2260.42</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0</v>
      </c>
      <c r="L36" s="2029">
        <f>SUM(L23,L35)</f>
        <v>9702781.5800000001</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v>
      </c>
      <c r="L38" s="2029">
        <f t="shared" si="13"/>
        <v>1000000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2185457.56</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20659.91</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1747379.72</v>
      </c>
      <c r="L48" s="2029">
        <f t="shared" si="13"/>
        <v>-2433969.27</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2208377.89</v>
      </c>
      <c r="I49" s="2025" t="str">
        <f t="shared" si="5"/>
        <v>所有者权益合计</v>
      </c>
      <c r="J49" s="2016"/>
      <c r="K49" s="2017">
        <f>SUM(K38:K39,K42,-K43,K44:K48)</f>
        <v>1747379.72</v>
      </c>
      <c r="L49" s="2029">
        <f>SUM(L38:L39,L42,-L43,L44:L48)</f>
        <v>-1433969.27</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0</v>
      </c>
      <c r="H50" s="2035">
        <f>SUM(H23,H49)</f>
        <v>8268812.3099999996</v>
      </c>
      <c r="I50" s="2036" t="str">
        <f t="shared" si="5"/>
        <v>负债和所有者权益总计</v>
      </c>
      <c r="J50" s="2033"/>
      <c r="K50" s="2034">
        <f>SUM(K36,K49)</f>
        <v>1747379.72</v>
      </c>
      <c r="L50" s="2037">
        <f>SUM(L36,L49)</f>
        <v>8268812.3099999996</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0</v>
      </c>
      <c r="I59" s="1865" t="str">
        <f>I50</f>
        <v>负债和所有者权益总计</v>
      </c>
      <c r="J59" s="1863"/>
      <c r="K59" s="1873">
        <f>K50</f>
        <v>1747379.72</v>
      </c>
      <c r="L59" s="1867">
        <f>ROUND(H59-K59,2)</f>
        <v>-1747379.72</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8268812.3099999996</v>
      </c>
      <c r="I61" s="1882" t="str">
        <f>I50</f>
        <v>负债和所有者权益总计</v>
      </c>
      <c r="J61" s="1880"/>
      <c r="K61" s="1883">
        <f>L50</f>
        <v>8268812.3099999996</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58" priority="108" stopIfTrue="1">
      <formula>#REF!=TRUE</formula>
    </cfRule>
  </conditionalFormatting>
  <conditionalFormatting sqref="L60 L58 L62">
    <cfRule type="cellIs" dxfId="4057" priority="107" stopIfTrue="1" operator="notEqual">
      <formula>0</formula>
    </cfRule>
  </conditionalFormatting>
  <conditionalFormatting sqref="E55:F55">
    <cfRule type="expression" dxfId="4056" priority="106" stopIfTrue="1">
      <formula>#REF!=TRUE</formula>
    </cfRule>
  </conditionalFormatting>
  <conditionalFormatting sqref="L59 L57 L61">
    <cfRule type="cellIs" dxfId="4055" priority="105" stopIfTrue="1" operator="notEqual">
      <formula>0</formula>
    </cfRule>
  </conditionalFormatting>
  <conditionalFormatting sqref="E55:F55">
    <cfRule type="expression" dxfId="4054" priority="104" stopIfTrue="1">
      <formula>#REF!=TRUE</formula>
    </cfRule>
  </conditionalFormatting>
  <conditionalFormatting sqref="L59 L57 L61">
    <cfRule type="cellIs" dxfId="4053" priority="103" stopIfTrue="1" operator="notEqual">
      <formula>0</formula>
    </cfRule>
  </conditionalFormatting>
  <conditionalFormatting sqref="E56:F56">
    <cfRule type="expression" dxfId="4052" priority="102" stopIfTrue="1">
      <formula>#REF!=TRUE</formula>
    </cfRule>
  </conditionalFormatting>
  <conditionalFormatting sqref="L60 L58">
    <cfRule type="cellIs" dxfId="4051" priority="101" stopIfTrue="1" operator="notEqual">
      <formula>0</formula>
    </cfRule>
  </conditionalFormatting>
  <conditionalFormatting sqref="E55:F55">
    <cfRule type="expression" dxfId="4050" priority="100" stopIfTrue="1">
      <formula>#REF!=TRUE</formula>
    </cfRule>
  </conditionalFormatting>
  <conditionalFormatting sqref="L59 L57 L61">
    <cfRule type="cellIs" dxfId="4049" priority="99" stopIfTrue="1" operator="notEqual">
      <formula>0</formula>
    </cfRule>
  </conditionalFormatting>
  <conditionalFormatting sqref="E55:F55">
    <cfRule type="expression" dxfId="4048" priority="98" stopIfTrue="1">
      <formula>#REF!=TRUE</formula>
    </cfRule>
  </conditionalFormatting>
  <conditionalFormatting sqref="L59 L57 L61">
    <cfRule type="cellIs" dxfId="4047" priority="97" stopIfTrue="1" operator="notEqual">
      <formula>0</formula>
    </cfRule>
  </conditionalFormatting>
  <conditionalFormatting sqref="E56:F56">
    <cfRule type="expression" dxfId="4046" priority="96" stopIfTrue="1">
      <formula>#REF!=TRUE</formula>
    </cfRule>
  </conditionalFormatting>
  <conditionalFormatting sqref="L60 L58">
    <cfRule type="cellIs" dxfId="4045" priority="95" stopIfTrue="1" operator="notEqual">
      <formula>0</formula>
    </cfRule>
  </conditionalFormatting>
  <conditionalFormatting sqref="E55:F55">
    <cfRule type="expression" dxfId="4044" priority="94" stopIfTrue="1">
      <formula>#REF!=TRUE</formula>
    </cfRule>
  </conditionalFormatting>
  <conditionalFormatting sqref="L59 L57 L61">
    <cfRule type="cellIs" dxfId="4043" priority="93" stopIfTrue="1" operator="notEqual">
      <formula>0</formula>
    </cfRule>
  </conditionalFormatting>
  <conditionalFormatting sqref="E55:F55">
    <cfRule type="expression" dxfId="4042" priority="92" stopIfTrue="1">
      <formula>#REF!=TRUE</formula>
    </cfRule>
  </conditionalFormatting>
  <conditionalFormatting sqref="L59 L57 L61">
    <cfRule type="cellIs" dxfId="4041" priority="91" stopIfTrue="1" operator="notEqual">
      <formula>0</formula>
    </cfRule>
  </conditionalFormatting>
  <conditionalFormatting sqref="E56:F56">
    <cfRule type="expression" dxfId="4040" priority="90" stopIfTrue="1">
      <formula>#REF!=TRUE</formula>
    </cfRule>
  </conditionalFormatting>
  <conditionalFormatting sqref="L60 L58">
    <cfRule type="cellIs" dxfId="4039" priority="89" stopIfTrue="1" operator="notEqual">
      <formula>0</formula>
    </cfRule>
  </conditionalFormatting>
  <conditionalFormatting sqref="E55:F55">
    <cfRule type="expression" dxfId="4038" priority="88" stopIfTrue="1">
      <formula>#REF!=TRUE</formula>
    </cfRule>
  </conditionalFormatting>
  <conditionalFormatting sqref="L59 L57 L61">
    <cfRule type="cellIs" dxfId="4037" priority="87" stopIfTrue="1" operator="notEqual">
      <formula>0</formula>
    </cfRule>
  </conditionalFormatting>
  <conditionalFormatting sqref="E55:F55">
    <cfRule type="expression" dxfId="4036" priority="86" stopIfTrue="1">
      <formula>#REF!=TRUE</formula>
    </cfRule>
  </conditionalFormatting>
  <conditionalFormatting sqref="L59 L57 L61">
    <cfRule type="cellIs" dxfId="4035" priority="85" stopIfTrue="1" operator="notEqual">
      <formula>0</formula>
    </cfRule>
  </conditionalFormatting>
  <conditionalFormatting sqref="E56:F56">
    <cfRule type="expression" dxfId="4034" priority="84" stopIfTrue="1">
      <formula>#REF!=TRUE</formula>
    </cfRule>
  </conditionalFormatting>
  <conditionalFormatting sqref="L57:L61">
    <cfRule type="cellIs" dxfId="4033" priority="83" stopIfTrue="1" operator="notEqual">
      <formula>0</formula>
    </cfRule>
  </conditionalFormatting>
  <conditionalFormatting sqref="E55:F56">
    <cfRule type="expression" dxfId="4032" priority="82" stopIfTrue="1">
      <formula>#REF!=TRUE</formula>
    </cfRule>
  </conditionalFormatting>
  <conditionalFormatting sqref="E56:F56">
    <cfRule type="expression" dxfId="4031" priority="81" stopIfTrue="1">
      <formula>#REF!=TRUE</formula>
    </cfRule>
  </conditionalFormatting>
  <conditionalFormatting sqref="L60 L58">
    <cfRule type="cellIs" dxfId="4030" priority="80" stopIfTrue="1" operator="notEqual">
      <formula>0</formula>
    </cfRule>
  </conditionalFormatting>
  <conditionalFormatting sqref="E55:F55">
    <cfRule type="expression" dxfId="4029" priority="79" stopIfTrue="1">
      <formula>#REF!=TRUE</formula>
    </cfRule>
  </conditionalFormatting>
  <conditionalFormatting sqref="L59 L57 L61">
    <cfRule type="cellIs" dxfId="4028" priority="78" stopIfTrue="1" operator="notEqual">
      <formula>0</formula>
    </cfRule>
  </conditionalFormatting>
  <conditionalFormatting sqref="E55:F55">
    <cfRule type="expression" dxfId="4027" priority="77" stopIfTrue="1">
      <formula>#REF!=TRUE</formula>
    </cfRule>
  </conditionalFormatting>
  <conditionalFormatting sqref="L59 L57 L61">
    <cfRule type="cellIs" dxfId="4026" priority="76" stopIfTrue="1" operator="notEqual">
      <formula>0</formula>
    </cfRule>
  </conditionalFormatting>
  <conditionalFormatting sqref="E56:F56">
    <cfRule type="expression" dxfId="4025" priority="75" stopIfTrue="1">
      <formula>#REF!=TRUE</formula>
    </cfRule>
  </conditionalFormatting>
  <conditionalFormatting sqref="L60 L58">
    <cfRule type="cellIs" dxfId="4024" priority="74" stopIfTrue="1" operator="notEqual">
      <formula>0</formula>
    </cfRule>
  </conditionalFormatting>
  <conditionalFormatting sqref="E55:F55">
    <cfRule type="expression" dxfId="4023" priority="73" stopIfTrue="1">
      <formula>#REF!=TRUE</formula>
    </cfRule>
  </conditionalFormatting>
  <conditionalFormatting sqref="L59 L57 L61">
    <cfRule type="cellIs" dxfId="4022" priority="72" stopIfTrue="1" operator="notEqual">
      <formula>0</formula>
    </cfRule>
  </conditionalFormatting>
  <conditionalFormatting sqref="E55:F55">
    <cfRule type="expression" dxfId="4021" priority="71" stopIfTrue="1">
      <formula>#REF!=TRUE</formula>
    </cfRule>
  </conditionalFormatting>
  <conditionalFormatting sqref="L59 L57 L61">
    <cfRule type="cellIs" dxfId="4020" priority="70" stopIfTrue="1" operator="notEqual">
      <formula>0</formula>
    </cfRule>
  </conditionalFormatting>
  <conditionalFormatting sqref="E56:F56">
    <cfRule type="expression" dxfId="4019" priority="69" stopIfTrue="1">
      <formula>#REF!=TRUE</formula>
    </cfRule>
  </conditionalFormatting>
  <conditionalFormatting sqref="L60 L58">
    <cfRule type="cellIs" dxfId="4018" priority="68" stopIfTrue="1" operator="notEqual">
      <formula>0</formula>
    </cfRule>
  </conditionalFormatting>
  <conditionalFormatting sqref="E55:F55">
    <cfRule type="expression" dxfId="4017" priority="67" stopIfTrue="1">
      <formula>#REF!=TRUE</formula>
    </cfRule>
  </conditionalFormatting>
  <conditionalFormatting sqref="L59 L57 L61">
    <cfRule type="cellIs" dxfId="4016" priority="66" stopIfTrue="1" operator="notEqual">
      <formula>0</formula>
    </cfRule>
  </conditionalFormatting>
  <conditionalFormatting sqref="E55:F55">
    <cfRule type="expression" dxfId="4015" priority="65" stopIfTrue="1">
      <formula>#REF!=TRUE</formula>
    </cfRule>
  </conditionalFormatting>
  <conditionalFormatting sqref="L59 L57 L61">
    <cfRule type="cellIs" dxfId="4014" priority="64" stopIfTrue="1" operator="notEqual">
      <formula>0</formula>
    </cfRule>
  </conditionalFormatting>
  <conditionalFormatting sqref="E56:F56">
    <cfRule type="expression" dxfId="4013" priority="63" stopIfTrue="1">
      <formula>#REF!=TRUE</formula>
    </cfRule>
  </conditionalFormatting>
  <conditionalFormatting sqref="L60 L58">
    <cfRule type="cellIs" dxfId="4012" priority="62" stopIfTrue="1" operator="notEqual">
      <formula>0</formula>
    </cfRule>
  </conditionalFormatting>
  <conditionalFormatting sqref="E55:F55">
    <cfRule type="expression" dxfId="4011" priority="61" stopIfTrue="1">
      <formula>#REF!=TRUE</formula>
    </cfRule>
  </conditionalFormatting>
  <conditionalFormatting sqref="L59 L57 L61">
    <cfRule type="cellIs" dxfId="4010" priority="60" stopIfTrue="1" operator="notEqual">
      <formula>0</formula>
    </cfRule>
  </conditionalFormatting>
  <conditionalFormatting sqref="E55:F55">
    <cfRule type="expression" dxfId="4009" priority="59" stopIfTrue="1">
      <formula>#REF!=TRUE</formula>
    </cfRule>
  </conditionalFormatting>
  <conditionalFormatting sqref="L59 L57 L61">
    <cfRule type="cellIs" dxfId="4008" priority="58" stopIfTrue="1" operator="notEqual">
      <formula>0</formula>
    </cfRule>
  </conditionalFormatting>
  <conditionalFormatting sqref="E56:F56">
    <cfRule type="expression" dxfId="4007" priority="57" stopIfTrue="1">
      <formula>#REF!=TRUE</formula>
    </cfRule>
  </conditionalFormatting>
  <conditionalFormatting sqref="L57:L61">
    <cfRule type="cellIs" dxfId="4006" priority="56" stopIfTrue="1" operator="notEqual">
      <formula>0</formula>
    </cfRule>
  </conditionalFormatting>
  <conditionalFormatting sqref="E55:F56">
    <cfRule type="expression" dxfId="4005" priority="55" stopIfTrue="1">
      <formula>#REF!=TRUE</formula>
    </cfRule>
  </conditionalFormatting>
  <conditionalFormatting sqref="E56:F56">
    <cfRule type="expression" dxfId="4004" priority="54" stopIfTrue="1">
      <formula>#REF!=TRUE</formula>
    </cfRule>
  </conditionalFormatting>
  <conditionalFormatting sqref="L60 L58">
    <cfRule type="cellIs" dxfId="4003" priority="53" stopIfTrue="1" operator="notEqual">
      <formula>0</formula>
    </cfRule>
  </conditionalFormatting>
  <conditionalFormatting sqref="E55:F55">
    <cfRule type="expression" dxfId="4002" priority="52" stopIfTrue="1">
      <formula>#REF!=TRUE</formula>
    </cfRule>
  </conditionalFormatting>
  <conditionalFormatting sqref="L59 L57 L61">
    <cfRule type="cellIs" dxfId="4001" priority="51" stopIfTrue="1" operator="notEqual">
      <formula>0</formula>
    </cfRule>
  </conditionalFormatting>
  <conditionalFormatting sqref="E55:F55">
    <cfRule type="expression" dxfId="4000" priority="50" stopIfTrue="1">
      <formula>#REF!=TRUE</formula>
    </cfRule>
  </conditionalFormatting>
  <conditionalFormatting sqref="L59 L57 L61">
    <cfRule type="cellIs" dxfId="3999" priority="49" stopIfTrue="1" operator="notEqual">
      <formula>0</formula>
    </cfRule>
  </conditionalFormatting>
  <conditionalFormatting sqref="E56:F56">
    <cfRule type="expression" dxfId="3998" priority="48" stopIfTrue="1">
      <formula>#REF!=TRUE</formula>
    </cfRule>
  </conditionalFormatting>
  <conditionalFormatting sqref="L60 L58">
    <cfRule type="cellIs" dxfId="3997" priority="47" stopIfTrue="1" operator="notEqual">
      <formula>0</formula>
    </cfRule>
  </conditionalFormatting>
  <conditionalFormatting sqref="E55:F55">
    <cfRule type="expression" dxfId="3996" priority="46" stopIfTrue="1">
      <formula>#REF!=TRUE</formula>
    </cfRule>
  </conditionalFormatting>
  <conditionalFormatting sqref="L59 L57 L61">
    <cfRule type="cellIs" dxfId="3995" priority="45" stopIfTrue="1" operator="notEqual">
      <formula>0</formula>
    </cfRule>
  </conditionalFormatting>
  <conditionalFormatting sqref="E55:F55">
    <cfRule type="expression" dxfId="3994" priority="44" stopIfTrue="1">
      <formula>#REF!=TRUE</formula>
    </cfRule>
  </conditionalFormatting>
  <conditionalFormatting sqref="L59 L57 L61">
    <cfRule type="cellIs" dxfId="3993" priority="43" stopIfTrue="1" operator="notEqual">
      <formula>0</formula>
    </cfRule>
  </conditionalFormatting>
  <conditionalFormatting sqref="E56:F56">
    <cfRule type="expression" dxfId="3992" priority="42" stopIfTrue="1">
      <formula>#REF!=TRUE</formula>
    </cfRule>
  </conditionalFormatting>
  <conditionalFormatting sqref="L60 L58">
    <cfRule type="cellIs" dxfId="3991" priority="41" stopIfTrue="1" operator="notEqual">
      <formula>0</formula>
    </cfRule>
  </conditionalFormatting>
  <conditionalFormatting sqref="E55:F55">
    <cfRule type="expression" dxfId="3990" priority="40" stopIfTrue="1">
      <formula>#REF!=TRUE</formula>
    </cfRule>
  </conditionalFormatting>
  <conditionalFormatting sqref="L59 L57 L61">
    <cfRule type="cellIs" dxfId="3989" priority="39" stopIfTrue="1" operator="notEqual">
      <formula>0</formula>
    </cfRule>
  </conditionalFormatting>
  <conditionalFormatting sqref="E55:F55">
    <cfRule type="expression" dxfId="3988" priority="38" stopIfTrue="1">
      <formula>#REF!=TRUE</formula>
    </cfRule>
  </conditionalFormatting>
  <conditionalFormatting sqref="L59 L57 L61">
    <cfRule type="cellIs" dxfId="3987" priority="37" stopIfTrue="1" operator="notEqual">
      <formula>0</formula>
    </cfRule>
  </conditionalFormatting>
  <conditionalFormatting sqref="E56:F56">
    <cfRule type="expression" dxfId="3986" priority="36" stopIfTrue="1">
      <formula>#REF!=TRUE</formula>
    </cfRule>
  </conditionalFormatting>
  <conditionalFormatting sqref="L60 L58">
    <cfRule type="cellIs" dxfId="3985" priority="35" stopIfTrue="1" operator="notEqual">
      <formula>0</formula>
    </cfRule>
  </conditionalFormatting>
  <conditionalFormatting sqref="E55:F55">
    <cfRule type="expression" dxfId="3984" priority="34" stopIfTrue="1">
      <formula>#REF!=TRUE</formula>
    </cfRule>
  </conditionalFormatting>
  <conditionalFormatting sqref="L59 L57 L61">
    <cfRule type="cellIs" dxfId="3983" priority="33" stopIfTrue="1" operator="notEqual">
      <formula>0</formula>
    </cfRule>
  </conditionalFormatting>
  <conditionalFormatting sqref="E55:F55">
    <cfRule type="expression" dxfId="3982" priority="32" stopIfTrue="1">
      <formula>#REF!=TRUE</formula>
    </cfRule>
  </conditionalFormatting>
  <conditionalFormatting sqref="L59 L57 L61">
    <cfRule type="cellIs" dxfId="3981" priority="31" stopIfTrue="1" operator="notEqual">
      <formula>0</formula>
    </cfRule>
  </conditionalFormatting>
  <conditionalFormatting sqref="E56:F56">
    <cfRule type="expression" dxfId="3980" priority="30" stopIfTrue="1">
      <formula>#REF!=TRUE</formula>
    </cfRule>
  </conditionalFormatting>
  <conditionalFormatting sqref="L57:L61">
    <cfRule type="cellIs" dxfId="3979" priority="29" stopIfTrue="1" operator="notEqual">
      <formula>0</formula>
    </cfRule>
  </conditionalFormatting>
  <conditionalFormatting sqref="E55:F56">
    <cfRule type="expression" dxfId="3978" priority="28" stopIfTrue="1">
      <formula>#REF!=TRUE</formula>
    </cfRule>
  </conditionalFormatting>
  <conditionalFormatting sqref="E56:F56">
    <cfRule type="expression" dxfId="3977" priority="27" stopIfTrue="1">
      <formula>#REF!=TRUE</formula>
    </cfRule>
  </conditionalFormatting>
  <conditionalFormatting sqref="L60 L58">
    <cfRule type="cellIs" dxfId="3976" priority="26" stopIfTrue="1" operator="notEqual">
      <formula>0</formula>
    </cfRule>
  </conditionalFormatting>
  <conditionalFormatting sqref="E55:F55">
    <cfRule type="expression" dxfId="3975" priority="25" stopIfTrue="1">
      <formula>#REF!=TRUE</formula>
    </cfRule>
  </conditionalFormatting>
  <conditionalFormatting sqref="L59 L57 L61">
    <cfRule type="cellIs" dxfId="3974" priority="24" stopIfTrue="1" operator="notEqual">
      <formula>0</formula>
    </cfRule>
  </conditionalFormatting>
  <conditionalFormatting sqref="E55:F55">
    <cfRule type="expression" dxfId="3973" priority="23" stopIfTrue="1">
      <formula>#REF!=TRUE</formula>
    </cfRule>
  </conditionalFormatting>
  <conditionalFormatting sqref="L59 L57 L61">
    <cfRule type="cellIs" dxfId="3972" priority="22" stopIfTrue="1" operator="notEqual">
      <formula>0</formula>
    </cfRule>
  </conditionalFormatting>
  <conditionalFormatting sqref="E56:F56">
    <cfRule type="expression" dxfId="3971" priority="21" stopIfTrue="1">
      <formula>#REF!=TRUE</formula>
    </cfRule>
  </conditionalFormatting>
  <conditionalFormatting sqref="L60 L58">
    <cfRule type="cellIs" dxfId="3970" priority="20" stopIfTrue="1" operator="notEqual">
      <formula>0</formula>
    </cfRule>
  </conditionalFormatting>
  <conditionalFormatting sqref="E55:F55">
    <cfRule type="expression" dxfId="3969" priority="19" stopIfTrue="1">
      <formula>#REF!=TRUE</formula>
    </cfRule>
  </conditionalFormatting>
  <conditionalFormatting sqref="L59 L57 L61">
    <cfRule type="cellIs" dxfId="3968" priority="18" stopIfTrue="1" operator="notEqual">
      <formula>0</formula>
    </cfRule>
  </conditionalFormatting>
  <conditionalFormatting sqref="E55:F55">
    <cfRule type="expression" dxfId="3967" priority="17" stopIfTrue="1">
      <formula>#REF!=TRUE</formula>
    </cfRule>
  </conditionalFormatting>
  <conditionalFormatting sqref="L59 L57 L61">
    <cfRule type="cellIs" dxfId="3966" priority="16" stopIfTrue="1" operator="notEqual">
      <formula>0</formula>
    </cfRule>
  </conditionalFormatting>
  <conditionalFormatting sqref="E56:F56">
    <cfRule type="expression" dxfId="3965" priority="15" stopIfTrue="1">
      <formula>#REF!=TRUE</formula>
    </cfRule>
  </conditionalFormatting>
  <conditionalFormatting sqref="L60 L58">
    <cfRule type="cellIs" dxfId="3964" priority="14" stopIfTrue="1" operator="notEqual">
      <formula>0</formula>
    </cfRule>
  </conditionalFormatting>
  <conditionalFormatting sqref="E55:F55">
    <cfRule type="expression" dxfId="3963" priority="13" stopIfTrue="1">
      <formula>#REF!=TRUE</formula>
    </cfRule>
  </conditionalFormatting>
  <conditionalFormatting sqref="L59 L57 L61">
    <cfRule type="cellIs" dxfId="3962" priority="12" stopIfTrue="1" operator="notEqual">
      <formula>0</formula>
    </cfRule>
  </conditionalFormatting>
  <conditionalFormatting sqref="E55:F55">
    <cfRule type="expression" dxfId="3961" priority="11" stopIfTrue="1">
      <formula>#REF!=TRUE</formula>
    </cfRule>
  </conditionalFormatting>
  <conditionalFormatting sqref="L59 L57 L61">
    <cfRule type="cellIs" dxfId="3960" priority="10" stopIfTrue="1" operator="notEqual">
      <formula>0</formula>
    </cfRule>
  </conditionalFormatting>
  <conditionalFormatting sqref="E56:F56">
    <cfRule type="expression" dxfId="3959" priority="9" stopIfTrue="1">
      <formula>#REF!=TRUE</formula>
    </cfRule>
  </conditionalFormatting>
  <conditionalFormatting sqref="L60 L58">
    <cfRule type="cellIs" dxfId="3958" priority="8" stopIfTrue="1" operator="notEqual">
      <formula>0</formula>
    </cfRule>
  </conditionalFormatting>
  <conditionalFormatting sqref="E55:F55">
    <cfRule type="expression" dxfId="3957" priority="7" stopIfTrue="1">
      <formula>#REF!=TRUE</formula>
    </cfRule>
  </conditionalFormatting>
  <conditionalFormatting sqref="L59 L57 L61">
    <cfRule type="cellIs" dxfId="3956" priority="6" stopIfTrue="1" operator="notEqual">
      <formula>0</formula>
    </cfRule>
  </conditionalFormatting>
  <conditionalFormatting sqref="E55:F55">
    <cfRule type="expression" dxfId="3955" priority="5" stopIfTrue="1">
      <formula>#REF!=TRUE</formula>
    </cfRule>
  </conditionalFormatting>
  <conditionalFormatting sqref="L59 L57 L61">
    <cfRule type="cellIs" dxfId="3954" priority="4" stopIfTrue="1" operator="notEqual">
      <formula>0</formula>
    </cfRule>
  </conditionalFormatting>
  <conditionalFormatting sqref="E56:F56">
    <cfRule type="expression" dxfId="3953" priority="3" stopIfTrue="1">
      <formula>#REF!=TRUE</formula>
    </cfRule>
  </conditionalFormatting>
  <conditionalFormatting sqref="L57:L61">
    <cfRule type="cellIs" dxfId="3952" priority="2" stopIfTrue="1" operator="notEqual">
      <formula>0</formula>
    </cfRule>
  </conditionalFormatting>
  <conditionalFormatting sqref="E55:F56">
    <cfRule type="expression" dxfId="3951"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67" workbookViewId="0">
      <selection activeCell="F32" sqref="F32"/>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0" t="s">
        <v>5808</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编制单位：北京鼎竑信息技术有限公司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2189820.39</v>
      </c>
      <c r="F7" s="2050">
        <f t="shared" ref="F7:F24" si="3">IF($B7="","",VLOOKUP($B7,Sheet_Trialbal,10,0))</f>
        <v>10519044.27</v>
      </c>
      <c r="G7" s="1885"/>
      <c r="H7" s="1885"/>
      <c r="I7" s="1664"/>
      <c r="J7" s="1664"/>
    </row>
    <row r="8" spans="1:10" ht="20.100000000000001" customHeight="1">
      <c r="A8" s="2863">
        <f t="shared" si="0"/>
        <v>0</v>
      </c>
      <c r="B8" s="2856">
        <v>6401</v>
      </c>
      <c r="C8" s="2051" t="str">
        <f t="shared" si="1"/>
        <v>减：营业成本</v>
      </c>
      <c r="D8" s="2052"/>
      <c r="E8" s="2049">
        <f t="shared" si="2"/>
        <v>1009661.4</v>
      </c>
      <c r="F8" s="2050">
        <f t="shared" si="3"/>
        <v>4316544.09</v>
      </c>
      <c r="G8" s="1885"/>
      <c r="H8" s="1885"/>
      <c r="I8" s="1664"/>
      <c r="J8" s="1664"/>
    </row>
    <row r="9" spans="1:10" ht="20.100000000000001" customHeight="1">
      <c r="A9" s="2863">
        <f t="shared" si="0"/>
        <v>0</v>
      </c>
      <c r="B9" s="2856">
        <v>6600</v>
      </c>
      <c r="C9" s="2030" t="str">
        <f t="shared" si="1"/>
        <v>税金及附加</v>
      </c>
      <c r="D9" s="2052"/>
      <c r="E9" s="2049">
        <f t="shared" si="2"/>
        <v>147093.37</v>
      </c>
      <c r="F9" s="2050">
        <f t="shared" si="3"/>
        <v>42462.27</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494261.11</v>
      </c>
      <c r="G10" s="1885"/>
      <c r="H10" s="1885"/>
      <c r="I10" s="1664"/>
      <c r="J10" s="1664"/>
    </row>
    <row r="11" spans="1:10" ht="20.100000000000001" customHeight="1">
      <c r="A11" s="2863">
        <f t="shared" si="0"/>
        <v>0</v>
      </c>
      <c r="B11" s="2856">
        <v>6602</v>
      </c>
      <c r="C11" s="2030" t="str">
        <f t="shared" si="1"/>
        <v>管理费用</v>
      </c>
      <c r="D11" s="2052"/>
      <c r="E11" s="2049">
        <f t="shared" si="2"/>
        <v>419878.21</v>
      </c>
      <c r="F11" s="2050">
        <f t="shared" si="3"/>
        <v>6359.38</v>
      </c>
      <c r="G11" s="1885"/>
      <c r="H11" s="1885"/>
      <c r="I11" s="1664"/>
      <c r="J11" s="1664"/>
    </row>
    <row r="12" spans="1:10" ht="20.100000000000001" customHeight="1">
      <c r="A12" s="2863">
        <f t="shared" si="0"/>
        <v>0</v>
      </c>
      <c r="B12" s="2856">
        <v>6606</v>
      </c>
      <c r="C12" s="2030" t="str">
        <f t="shared" si="1"/>
        <v>研发费用</v>
      </c>
      <c r="D12" s="2052"/>
      <c r="E12" s="2049">
        <f t="shared" si="2"/>
        <v>0</v>
      </c>
      <c r="F12" s="2050">
        <f t="shared" si="3"/>
        <v>121122.15</v>
      </c>
      <c r="G12" s="1885"/>
      <c r="H12" s="1885"/>
      <c r="I12" s="1664"/>
      <c r="J12" s="1664"/>
    </row>
    <row r="13" spans="1:10" ht="20.100000000000001" customHeight="1">
      <c r="A13" s="2863">
        <f t="shared" si="0"/>
        <v>0</v>
      </c>
      <c r="B13" s="2856">
        <v>6603</v>
      </c>
      <c r="C13" s="2030" t="str">
        <f t="shared" si="1"/>
        <v>财务费用</v>
      </c>
      <c r="D13" s="2052"/>
      <c r="E13" s="2049">
        <f t="shared" si="2"/>
        <v>1582.34</v>
      </c>
      <c r="F13" s="2050">
        <f t="shared" si="3"/>
        <v>236.95</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975.88</v>
      </c>
      <c r="G14" s="1885"/>
      <c r="H14" s="1885"/>
      <c r="I14" s="1664"/>
      <c r="J14" s="1664"/>
    </row>
    <row r="15" spans="1:10" ht="20.100000000000001" customHeight="1">
      <c r="A15" s="2863">
        <f t="shared" si="0"/>
        <v>0</v>
      </c>
      <c r="B15" s="2856" t="s">
        <v>810</v>
      </c>
      <c r="C15" s="2031" t="str">
        <f t="shared" si="1"/>
        <v>利息收入</v>
      </c>
      <c r="D15" s="2052"/>
      <c r="E15" s="2049">
        <f t="shared" si="2"/>
        <v>-519.74</v>
      </c>
      <c r="F15" s="2050">
        <f t="shared" si="3"/>
        <v>-644.88</v>
      </c>
      <c r="G15" s="1885"/>
      <c r="H15" s="1885"/>
      <c r="I15" s="1664"/>
      <c r="J15" s="1664"/>
    </row>
    <row r="16" spans="1:10" ht="20.100000000000001" customHeight="1">
      <c r="A16" s="2863">
        <f t="shared" si="0"/>
        <v>0</v>
      </c>
      <c r="B16" s="2856">
        <v>6181</v>
      </c>
      <c r="C16" s="2028" t="str">
        <f t="shared" si="1"/>
        <v>加：其他收益</v>
      </c>
      <c r="D16" s="2052"/>
      <c r="E16" s="2049">
        <f t="shared" si="2"/>
        <v>41615.08</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4831.16</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-35987.15</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658051.31000000006</v>
      </c>
      <c r="F25" s="2050">
        <f>SUM(F7)-SUM(F8:F13)+SUM(F16:F24)-SUM(F18,F19)</f>
        <v>5502071.1699999999</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658051.31000000006</v>
      </c>
      <c r="F28" s="2050">
        <f>SUM(F25,F26,-F27)</f>
        <v>5502071.1699999999</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-1089328.4099999999</v>
      </c>
      <c r="F29" s="2050">
        <f>IF($B29="","",VLOOKUP($B29,Sheet_Trialbal,10,0))</f>
        <v>38389.24</v>
      </c>
      <c r="G29" s="1885"/>
      <c r="H29" s="1885"/>
      <c r="I29" s="1664"/>
      <c r="J29" s="1664"/>
    </row>
    <row r="30" spans="1:10" ht="20.100000000000001" customHeight="1">
      <c r="A30" s="2863" t="str">
        <f t="shared" si="0"/>
        <v>＝</v>
      </c>
      <c r="B30" s="2856">
        <v>6799</v>
      </c>
      <c r="C30" s="2056" t="str">
        <f t="shared" si="1"/>
        <v>四、净利润（净亏损以“-”号填列）</v>
      </c>
      <c r="D30" s="2052"/>
      <c r="E30" s="2049">
        <f>SUM(E28,-E29)</f>
        <v>1747379.72</v>
      </c>
      <c r="F30" s="2050">
        <f>SUM(F28,-F29)</f>
        <v>5463681.9299999997</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1747379.72</v>
      </c>
      <c r="F31" s="2050">
        <f>F30</f>
        <v>5463681.9299999997</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1747379.72</v>
      </c>
      <c r="F52" s="2050">
        <f>SUM(F30,F33)</f>
        <v>5463681.9299999997</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21"/>
      <c r="D56" s="3121"/>
      <c r="E56" s="3121"/>
      <c r="F56" s="3121"/>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1747379.72</v>
      </c>
      <c r="F64" s="1899">
        <f>F30</f>
        <v>5463681.9299999997</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1747379.72</v>
      </c>
      <c r="F65" s="1899">
        <f>F31+F32</f>
        <v>5463681.9299999997</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1747379.72</v>
      </c>
      <c r="F69" s="1899">
        <f>F30</f>
        <v>5463681.9299999997</v>
      </c>
      <c r="G69" s="1895"/>
      <c r="H69" s="1895"/>
      <c r="I69" s="1664"/>
      <c r="J69" s="1664"/>
    </row>
    <row r="70" spans="1:10" ht="18">
      <c r="A70" s="2889" t="s">
        <v>2565</v>
      </c>
      <c r="B70" s="2890"/>
      <c r="C70" s="1900" t="str">
        <f>CE!$C$15&amp;" | "&amp;CE!$N$7</f>
        <v>（一）综合收益总额 | 未分配利润</v>
      </c>
      <c r="D70" s="1893" t="s">
        <v>5764</v>
      </c>
      <c r="E70" s="1898">
        <f>CE!N15</f>
        <v>1747379.72</v>
      </c>
      <c r="F70" s="1899">
        <f>CE!AA15</f>
        <v>5463681.9299999997</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1747379.72</v>
      </c>
      <c r="F77" s="1899">
        <f>F52</f>
        <v>5463681.9299999997</v>
      </c>
      <c r="G77" s="1895"/>
      <c r="H77" s="1885"/>
      <c r="I77" s="1664"/>
      <c r="J77" s="1664"/>
    </row>
    <row r="78" spans="1:10" ht="18">
      <c r="A78" s="2889" t="s">
        <v>2565</v>
      </c>
      <c r="B78" s="2890"/>
      <c r="C78" s="1900" t="str">
        <f>CE!$C$15&amp;" | "&amp;CE!$P$7</f>
        <v>（一）综合收益总额 | 所有者权益合计</v>
      </c>
      <c r="D78" s="1893" t="s">
        <v>5818</v>
      </c>
      <c r="E78" s="1898">
        <f>CE!P15</f>
        <v>1747379.72</v>
      </c>
      <c r="F78" s="1899">
        <f ca="1">CE!AC15</f>
        <v>5463681.9299999997</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0" priority="84" stopIfTrue="1" operator="notEqual">
      <formula>0</formula>
    </cfRule>
  </conditionalFormatting>
  <conditionalFormatting sqref="D61:D62 C61">
    <cfRule type="expression" dxfId="3949" priority="83" stopIfTrue="1">
      <formula>#REF!=TRUE</formula>
    </cfRule>
  </conditionalFormatting>
  <conditionalFormatting sqref="E81:F81 E75:F75 E79:F79 E71:F71">
    <cfRule type="cellIs" dxfId="3948" priority="82" stopIfTrue="1" operator="notEqual">
      <formula>0</formula>
    </cfRule>
  </conditionalFormatting>
  <conditionalFormatting sqref="E81:F81 E75:F75 E79:F79 E71:F71">
    <cfRule type="cellIs" dxfId="3947" priority="80" stopIfTrue="1" operator="notEqual">
      <formula>0</formula>
    </cfRule>
  </conditionalFormatting>
  <conditionalFormatting sqref="E81:F81 E75:F75 E79:F79 E71:F71">
    <cfRule type="cellIs" dxfId="3946" priority="79" stopIfTrue="1" operator="notEqual">
      <formula>0</formula>
    </cfRule>
  </conditionalFormatting>
  <conditionalFormatting sqref="E81:F81 E75:F75 E79:F79 E71:F71">
    <cfRule type="cellIs" dxfId="3945" priority="78" stopIfTrue="1" operator="notEqual">
      <formula>0</formula>
    </cfRule>
  </conditionalFormatting>
  <conditionalFormatting sqref="E81:F81 E75:F75 E79:F79 E71:F71">
    <cfRule type="cellIs" dxfId="3944" priority="77" stopIfTrue="1" operator="notEqual">
      <formula>0</formula>
    </cfRule>
  </conditionalFormatting>
  <conditionalFormatting sqref="E81:F81 E75:F75 E79:F79 E71:F71">
    <cfRule type="cellIs" dxfId="3943" priority="76" stopIfTrue="1" operator="notEqual">
      <formula>0</formula>
    </cfRule>
  </conditionalFormatting>
  <conditionalFormatting sqref="E81:F81 E75:F75 E79:F79 E71:F71">
    <cfRule type="cellIs" dxfId="3942" priority="74" stopIfTrue="1" operator="notEqual">
      <formula>0</formula>
    </cfRule>
  </conditionalFormatting>
  <conditionalFormatting sqref="E81:F81 E75:F75 E79:F79 E71:F71">
    <cfRule type="cellIs" dxfId="3941" priority="72" stopIfTrue="1" operator="notEqual">
      <formula>0</formula>
    </cfRule>
  </conditionalFormatting>
  <conditionalFormatting sqref="E81:F81 E75:F75 E79:F79 E71:F71">
    <cfRule type="cellIs" dxfId="3940" priority="71" stopIfTrue="1" operator="notEqual">
      <formula>0</formula>
    </cfRule>
  </conditionalFormatting>
  <conditionalFormatting sqref="E81:F81 E75:F75 E79:F79 E71:F71">
    <cfRule type="cellIs" dxfId="3939" priority="70" stopIfTrue="1" operator="notEqual">
      <formula>0</formula>
    </cfRule>
  </conditionalFormatting>
  <conditionalFormatting sqref="E81:F81 E75:F75 E79:F79 E71:F71">
    <cfRule type="cellIs" dxfId="3938" priority="69" stopIfTrue="1" operator="notEqual">
      <formula>0</formula>
    </cfRule>
  </conditionalFormatting>
  <conditionalFormatting sqref="E81:F81 E75:F75 E79:F79 E71:F71">
    <cfRule type="cellIs" dxfId="3937" priority="68" stopIfTrue="1" operator="notEqual">
      <formula>0</formula>
    </cfRule>
  </conditionalFormatting>
  <conditionalFormatting sqref="E81:F81 E75:F75 E79:F79 E71:F71">
    <cfRule type="cellIs" dxfId="3936" priority="66" stopIfTrue="1" operator="notEqual">
      <formula>0</formula>
    </cfRule>
  </conditionalFormatting>
  <conditionalFormatting sqref="E81:F81 E75:F75 E79:F79 E71:F71">
    <cfRule type="cellIs" dxfId="3935" priority="64" stopIfTrue="1" operator="notEqual">
      <formula>0</formula>
    </cfRule>
  </conditionalFormatting>
  <conditionalFormatting sqref="E81:F81 E75:F75 E79:F79 E71:F71">
    <cfRule type="cellIs" dxfId="3934" priority="63" stopIfTrue="1" operator="notEqual">
      <formula>0</formula>
    </cfRule>
  </conditionalFormatting>
  <conditionalFormatting sqref="E81:F81 E75:F75 E79:F79 E71:F71">
    <cfRule type="cellIs" dxfId="3933" priority="62" stopIfTrue="1" operator="notEqual">
      <formula>0</formula>
    </cfRule>
  </conditionalFormatting>
  <conditionalFormatting sqref="E81:F81 E75:F75 E79:F79 E71:F71">
    <cfRule type="cellIs" dxfId="3932" priority="61" stopIfTrue="1" operator="notEqual">
      <formula>0</formula>
    </cfRule>
  </conditionalFormatting>
  <conditionalFormatting sqref="E81:F81 E75:F75 E79:F79 E71:F71">
    <cfRule type="cellIs" dxfId="3931" priority="60" stopIfTrue="1" operator="notEqual">
      <formula>0</formula>
    </cfRule>
  </conditionalFormatting>
  <conditionalFormatting sqref="E81:F81 E75:F75 E79:F79 E71:F71">
    <cfRule type="cellIs" dxfId="3930" priority="58" stopIfTrue="1" operator="notEqual">
      <formula>0</formula>
    </cfRule>
  </conditionalFormatting>
  <conditionalFormatting sqref="E81:F81 E75:F75 E79:F79 E71:F71">
    <cfRule type="cellIs" dxfId="3929" priority="56" stopIfTrue="1" operator="notEqual">
      <formula>0</formula>
    </cfRule>
  </conditionalFormatting>
  <conditionalFormatting sqref="E81:F81 E75:F75 E79:F79 E71:F71">
    <cfRule type="cellIs" dxfId="3928" priority="55" stopIfTrue="1" operator="notEqual">
      <formula>0</formula>
    </cfRule>
  </conditionalFormatting>
  <conditionalFormatting sqref="E81:F81 E75:F75 E79:F79 E71:F71">
    <cfRule type="cellIs" dxfId="3927" priority="54" stopIfTrue="1" operator="notEqual">
      <formula>0</formula>
    </cfRule>
  </conditionalFormatting>
  <conditionalFormatting sqref="E81:F81 E75:F75 E79:F79 E71:F71">
    <cfRule type="cellIs" dxfId="3926" priority="53" stopIfTrue="1" operator="notEqual">
      <formula>0</formula>
    </cfRule>
  </conditionalFormatting>
  <conditionalFormatting sqref="E81:F81 E75:F75 E79:F79 E71:F71">
    <cfRule type="cellIs" dxfId="3925" priority="52" stopIfTrue="1" operator="notEqual">
      <formula>0</formula>
    </cfRule>
  </conditionalFormatting>
  <conditionalFormatting sqref="E81:F81 E75:F75 E79:F79 E71:F71">
    <cfRule type="cellIs" dxfId="3924" priority="50" stopIfTrue="1" operator="notEqual">
      <formula>0</formula>
    </cfRule>
  </conditionalFormatting>
  <conditionalFormatting sqref="E81:F81 E75:F75 E79:F79 E71:F71">
    <cfRule type="cellIs" dxfId="3923" priority="48" stopIfTrue="1" operator="notEqual">
      <formula>0</formula>
    </cfRule>
  </conditionalFormatting>
  <conditionalFormatting sqref="E81:F81 E75:F75 E79:F79 E71:F71">
    <cfRule type="cellIs" dxfId="3922" priority="47" stopIfTrue="1" operator="notEqual">
      <formula>0</formula>
    </cfRule>
  </conditionalFormatting>
  <conditionalFormatting sqref="E81:F81 E75:F75 E79:F79 E71:F71">
    <cfRule type="cellIs" dxfId="3921" priority="46" stopIfTrue="1" operator="notEqual">
      <formula>0</formula>
    </cfRule>
  </conditionalFormatting>
  <conditionalFormatting sqref="E81:F81 E75:F75 E79:F79 E71:F71">
    <cfRule type="cellIs" dxfId="3920" priority="45" stopIfTrue="1" operator="notEqual">
      <formula>0</formula>
    </cfRule>
  </conditionalFormatting>
  <conditionalFormatting sqref="E81:F81 E75:F75 E79:F79 E71:F71">
    <cfRule type="cellIs" dxfId="3919" priority="44" stopIfTrue="1" operator="notEqual">
      <formula>0</formula>
    </cfRule>
  </conditionalFormatting>
  <conditionalFormatting sqref="E81:F81 E75:F75 E79:F79 E71:F71">
    <cfRule type="cellIs" dxfId="3918" priority="42" stopIfTrue="1" operator="notEqual">
      <formula>0</formula>
    </cfRule>
  </conditionalFormatting>
  <conditionalFormatting sqref="E81:F81 E75:F75 E79:F79 E71:F71">
    <cfRule type="cellIs" dxfId="3917" priority="40" stopIfTrue="1" operator="notEqual">
      <formula>0</formula>
    </cfRule>
  </conditionalFormatting>
  <conditionalFormatting sqref="E81:F81 E75:F75 E79:F79 E71:F71">
    <cfRule type="cellIs" dxfId="3916" priority="39" stopIfTrue="1" operator="notEqual">
      <formula>0</formula>
    </cfRule>
  </conditionalFormatting>
  <conditionalFormatting sqref="E81:F81 E75:F75 E79:F79 E71:F71">
    <cfRule type="cellIs" dxfId="3915" priority="38" stopIfTrue="1" operator="notEqual">
      <formula>0</formula>
    </cfRule>
  </conditionalFormatting>
  <conditionalFormatting sqref="E81:F81 E75:F75 E79:F79 E71:F71">
    <cfRule type="cellIs" dxfId="3914"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0" workbookViewId="0">
      <selection activeCell="E9" sqref="E9"/>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0" t="s">
        <v>5809</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编制单位：北京鼎竑信息技术有限公司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3423319.05</v>
      </c>
      <c r="F8" s="2078">
        <f>VLOOKUP($B8,Sheet_Trialbal,10,0)</f>
        <v>5797532.9199999999</v>
      </c>
      <c r="G8" s="852"/>
      <c r="H8" s="852"/>
      <c r="I8" s="1664"/>
      <c r="J8" s="1664"/>
    </row>
    <row r="9" spans="1:10" ht="19.5" customHeight="1">
      <c r="A9" s="2842">
        <f t="shared" si="0"/>
        <v>0</v>
      </c>
      <c r="B9" s="2881">
        <v>7031</v>
      </c>
      <c r="C9" s="2079" t="str">
        <f t="shared" si="1"/>
        <v>收到的税费返还</v>
      </c>
      <c r="D9" s="2076"/>
      <c r="E9" s="2077">
        <f>VLOOKUP($B9,Sheet_Trialbal,6,0)</f>
        <v>1462.35</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120871.54</v>
      </c>
      <c r="F10" s="2078">
        <f>VLOOKUP($B10,Sheet_Trialbal,10,0)</f>
        <v>75955.25</v>
      </c>
      <c r="G10" s="852"/>
      <c r="H10" s="852"/>
      <c r="I10" s="1664"/>
      <c r="J10" s="1664"/>
    </row>
    <row r="11" spans="1:10" ht="19.5" customHeight="1">
      <c r="A11" s="2842" t="str">
        <f t="shared" si="0"/>
        <v>＝</v>
      </c>
      <c r="B11" s="2881">
        <v>7048</v>
      </c>
      <c r="C11" s="2075" t="str">
        <f t="shared" si="1"/>
        <v>经营活动现金流入小计</v>
      </c>
      <c r="D11" s="2076"/>
      <c r="E11" s="2077">
        <f>SUM(E8:E10)</f>
        <v>3545652.94</v>
      </c>
      <c r="F11" s="2078">
        <f>SUM(F8:F10)</f>
        <v>5873488.1699999999</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281714.11</v>
      </c>
      <c r="F12" s="2078">
        <f>VLOOKUP($B12,Sheet_Trialbal,10,0)</f>
        <v>81582.06</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2184383.0299999998</v>
      </c>
      <c r="F13" s="2078">
        <f>VLOOKUP($B13,Sheet_Trialbal,10,0)</f>
        <v>4358899.5999999996</v>
      </c>
      <c r="G13" s="852"/>
      <c r="H13" s="852"/>
      <c r="I13" s="1664"/>
      <c r="J13" s="1664"/>
    </row>
    <row r="14" spans="1:10" ht="19.5" customHeight="1">
      <c r="A14" s="2842">
        <f t="shared" si="0"/>
        <v>0</v>
      </c>
      <c r="B14" s="2881">
        <v>7071</v>
      </c>
      <c r="C14" s="2079" t="str">
        <f t="shared" si="1"/>
        <v>支付的各项税费</v>
      </c>
      <c r="D14" s="2076"/>
      <c r="E14" s="2077">
        <f>VLOOKUP($B14,Sheet_Trialbal,6,0)</f>
        <v>734423.99</v>
      </c>
      <c r="F14" s="2078">
        <f>VLOOKUP($B14,Sheet_Trialbal,10,0)</f>
        <v>484649.86</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26330.27</v>
      </c>
      <c r="F15" s="2078">
        <f>VLOOKUP($B15,Sheet_Trialbal,10,0)</f>
        <v>1504600.6</v>
      </c>
      <c r="G15" s="852"/>
      <c r="H15" s="852"/>
      <c r="I15" s="1664"/>
      <c r="J15" s="1664"/>
    </row>
    <row r="16" spans="1:10" ht="19.5" customHeight="1">
      <c r="A16" s="2842" t="str">
        <f t="shared" si="0"/>
        <v>＝</v>
      </c>
      <c r="B16" s="2881">
        <v>7098</v>
      </c>
      <c r="C16" s="2075" t="str">
        <f t="shared" si="1"/>
        <v>经营活动现金流出小计</v>
      </c>
      <c r="D16" s="2076"/>
      <c r="E16" s="2077">
        <f>SUM(E12:E15)</f>
        <v>3226851.4</v>
      </c>
      <c r="F16" s="2078">
        <f>SUM(F12:F15)</f>
        <v>6429732.1200000001</v>
      </c>
      <c r="G16" s="852"/>
      <c r="H16" s="852"/>
      <c r="I16" s="1664"/>
      <c r="J16" s="1664"/>
    </row>
    <row r="17" spans="1:10" ht="19.5" customHeight="1">
      <c r="A17" s="2842" t="str">
        <f t="shared" si="0"/>
        <v>＝</v>
      </c>
      <c r="B17" s="2881">
        <v>7099</v>
      </c>
      <c r="C17" s="2075" t="str">
        <f t="shared" si="1"/>
        <v>经营活动产生的现金流量净额</v>
      </c>
      <c r="D17" s="2076"/>
      <c r="E17" s="2077">
        <f>SUM(E11,-E16)</f>
        <v>318801.53999999998</v>
      </c>
      <c r="F17" s="2078">
        <f>SUM(F11,-F16)</f>
        <v>-556243.94999999995</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f>VLOOKUP($B25,Sheet_Trialbal,10,0)</f>
        <v>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0</v>
      </c>
      <c r="G29" s="852"/>
      <c r="H29" s="852"/>
      <c r="I29" s="1664"/>
      <c r="J29" s="1664"/>
    </row>
    <row r="30" spans="1:10" ht="19.5" customHeight="1">
      <c r="A30" s="2842" t="str">
        <f t="shared" si="0"/>
        <v>＝</v>
      </c>
      <c r="B30" s="2881">
        <v>7199</v>
      </c>
      <c r="C30" s="2075" t="str">
        <f t="shared" si="1"/>
        <v>投资活动产生的现金流量净额</v>
      </c>
      <c r="D30" s="2076"/>
      <c r="E30" s="2077">
        <f>SUM(E24,-E29)</f>
        <v>0</v>
      </c>
      <c r="F30" s="2078">
        <f>SUM(F24,-F29)</f>
        <v>0</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1194580.43</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1194580.43</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738000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738000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-738000</v>
      </c>
      <c r="F40" s="2078">
        <f>SUM(F35,-F39)</f>
        <v>1194580.43</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-419198.46</v>
      </c>
      <c r="F42" s="2078">
        <f>SUM(F17,F30,F40,F41)</f>
        <v>638336.48</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799162.6</v>
      </c>
      <c r="F43" s="2078">
        <f>VLOOKUP($B43,Sheet_Trialbal,10,0)</f>
        <v>160826.12</v>
      </c>
      <c r="G43" s="852"/>
      <c r="H43" s="852"/>
      <c r="I43" s="1664"/>
      <c r="J43" s="1664"/>
    </row>
    <row r="44" spans="1:16" ht="19.5" customHeight="1" thickBot="1">
      <c r="A44" s="2842" t="str">
        <f t="shared" si="0"/>
        <v>＝</v>
      </c>
      <c r="B44" s="2881">
        <v>7399</v>
      </c>
      <c r="C44" s="2081" t="str">
        <f t="shared" si="1"/>
        <v>六、期末现金及现金等价物余额</v>
      </c>
      <c r="D44" s="2082"/>
      <c r="E44" s="2083">
        <f>SUM(E42,E43)</f>
        <v>379964.14</v>
      </c>
      <c r="F44" s="2084">
        <f>SUM(F42,F43)</f>
        <v>799162.6</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1747379.72</v>
      </c>
      <c r="F51" s="1925">
        <f>VLOOKUP(6799,Sheet_Trialbal,10,0)</f>
        <v>5463681.9299999997</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35987.15</v>
      </c>
      <c r="G52" s="1857"/>
      <c r="H52" s="1857"/>
      <c r="I52" s="1751"/>
      <c r="J52" s="1664"/>
    </row>
    <row r="53" spans="1:10" ht="18">
      <c r="A53" s="2884" t="str">
        <f t="shared" si="4"/>
        <v>_JR</v>
      </c>
      <c r="B53" s="2864">
        <v>7504</v>
      </c>
      <c r="C53" s="1926" t="str">
        <f t="shared" ref="C53:C78" si="7">VLOOKUP($B53,Sheet_Items,6,0)</f>
        <v>信用减值损失</v>
      </c>
      <c r="D53" s="1923"/>
      <c r="E53" s="1924">
        <f t="shared" si="5"/>
        <v>-4831.16</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1298.1600000000001</v>
      </c>
      <c r="F54" s="1925">
        <f t="shared" si="6"/>
        <v>507.85</v>
      </c>
      <c r="G54" s="1857"/>
      <c r="H54" s="1857"/>
      <c r="I54" s="1751"/>
      <c r="J54" s="1664"/>
    </row>
    <row r="55" spans="1:10" ht="18">
      <c r="A55" s="2884">
        <f t="shared" si="4"/>
        <v>0</v>
      </c>
      <c r="B55" s="2864">
        <v>7506</v>
      </c>
      <c r="C55" s="1926" t="str">
        <f t="shared" si="7"/>
        <v>无形资产摊销</v>
      </c>
      <c r="D55" s="1923"/>
      <c r="E55" s="1924">
        <f t="shared" si="5"/>
        <v>218545.8</v>
      </c>
      <c r="F55" s="1925">
        <f t="shared" si="6"/>
        <v>0</v>
      </c>
      <c r="G55" s="1857"/>
      <c r="H55" s="1857"/>
      <c r="I55" s="1751"/>
      <c r="J55" s="1664"/>
    </row>
    <row r="56" spans="1:10" ht="18">
      <c r="A56" s="2884">
        <f t="shared" si="4"/>
        <v>0</v>
      </c>
      <c r="B56" s="2864">
        <v>7507</v>
      </c>
      <c r="C56" s="1926" t="str">
        <f t="shared" si="7"/>
        <v>长期待摊费用摊销</v>
      </c>
      <c r="D56" s="1923"/>
      <c r="E56" s="1924">
        <f t="shared" si="5"/>
        <v>0</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-1090974.7</v>
      </c>
      <c r="F62" s="1925">
        <f t="shared" si="6"/>
        <v>-8996.7900000000009</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4227653.54</v>
      </c>
      <c r="F65" s="1925">
        <f t="shared" si="6"/>
        <v>-5015190.28</v>
      </c>
      <c r="G65" s="1857"/>
      <c r="H65" s="1857"/>
      <c r="I65" s="1751"/>
      <c r="J65" s="1664"/>
    </row>
    <row r="66" spans="1:10" ht="18">
      <c r="A66" s="2884">
        <f t="shared" si="4"/>
        <v>0</v>
      </c>
      <c r="B66" s="2864">
        <v>7519</v>
      </c>
      <c r="C66" s="1926" t="str">
        <f t="shared" si="7"/>
        <v>经营性应付项目的增加（减少以“－”号填列）</v>
      </c>
      <c r="D66" s="1923"/>
      <c r="E66" s="1924">
        <f t="shared" si="5"/>
        <v>-4780269.82</v>
      </c>
      <c r="F66" s="1925">
        <f t="shared" si="6"/>
        <v>-1032233.81</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318801.53999999998</v>
      </c>
      <c r="F68" s="1929">
        <f>SUM(F51:F67)</f>
        <v>-556243.94999999995</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379964.14</v>
      </c>
      <c r="F74" s="1925">
        <f>VLOOKUP($B74,Sheet_Trialbal,10,0)</f>
        <v>799162.6</v>
      </c>
      <c r="G74" s="1857"/>
      <c r="H74" s="1857"/>
      <c r="I74" s="1751"/>
      <c r="J74" s="1664"/>
    </row>
    <row r="75" spans="1:10" ht="18">
      <c r="A75" s="2884">
        <f t="shared" si="4"/>
        <v>0</v>
      </c>
      <c r="B75" s="2864">
        <v>7536</v>
      </c>
      <c r="C75" s="1926" t="str">
        <f t="shared" si="7"/>
        <v>减：现金的年初余额</v>
      </c>
      <c r="D75" s="1923"/>
      <c r="E75" s="1924">
        <f>VLOOKUP($B75,Sheet_Trialbal,6,0)</f>
        <v>799162.6</v>
      </c>
      <c r="F75" s="1925">
        <f>VLOOKUP($B75,Sheet_Trialbal,10,0)</f>
        <v>160826.12</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-419198.46</v>
      </c>
      <c r="F78" s="1933">
        <f>SUM(F74,-F75,F76,-F77)</f>
        <v>638336.48</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799162.6</v>
      </c>
      <c r="F83" s="1951"/>
      <c r="G83" s="1857"/>
      <c r="H83" s="1857"/>
      <c r="I83" s="1751"/>
      <c r="J83" s="1664"/>
    </row>
    <row r="84" spans="1:10" ht="18">
      <c r="A84" s="2884"/>
      <c r="B84" s="2864"/>
      <c r="C84" s="1949" t="str">
        <f>C44&amp;" | "&amp;F81</f>
        <v>六、期末现金及现金等价物余额 | 上期金额</v>
      </c>
      <c r="D84" s="1946" t="s">
        <v>5827</v>
      </c>
      <c r="E84" s="1950">
        <f>F44</f>
        <v>799162.6</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1747379.72</v>
      </c>
      <c r="F88" s="1951">
        <f>F51</f>
        <v>5463681.9299999997</v>
      </c>
      <c r="G88" s="1857"/>
      <c r="H88" s="1857"/>
      <c r="I88" s="1751"/>
      <c r="J88" s="1664"/>
    </row>
    <row r="89" spans="1:10" ht="18">
      <c r="A89" s="2884"/>
      <c r="B89" s="2864">
        <v>6799</v>
      </c>
      <c r="C89" s="1949" t="str">
        <f>VLOOKUP($B89,Sheet_Items,2,0)</f>
        <v>净利润</v>
      </c>
      <c r="D89" s="1946" t="s">
        <v>5831</v>
      </c>
      <c r="E89" s="1950">
        <f>IS!E30</f>
        <v>1747379.72</v>
      </c>
      <c r="F89" s="1951">
        <f>IS!F30</f>
        <v>5463681.9299999997</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318801.53999999998</v>
      </c>
      <c r="F93" s="1951">
        <f>F68</f>
        <v>-556243.94999999995</v>
      </c>
      <c r="G93" s="1857"/>
      <c r="H93" s="1857"/>
      <c r="I93" s="1751"/>
      <c r="J93" s="1664"/>
    </row>
    <row r="94" spans="1:10" ht="18">
      <c r="A94" s="2884"/>
      <c r="B94" s="2864">
        <v>7099</v>
      </c>
      <c r="C94" s="1949" t="str">
        <f>C17&amp;"（主表）"</f>
        <v>经营活动产生的现金流量净额（主表）</v>
      </c>
      <c r="D94" s="1946" t="s">
        <v>5827</v>
      </c>
      <c r="E94" s="1950">
        <f>E17</f>
        <v>318801.53999999998</v>
      </c>
      <c r="F94" s="1951">
        <f>F17</f>
        <v>-556243.94999999995</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379964.14</v>
      </c>
      <c r="F97" s="1951">
        <f>SUM(F74,F76)</f>
        <v>799162.6</v>
      </c>
      <c r="G97" s="1857"/>
      <c r="H97" s="1857"/>
      <c r="I97" s="1751"/>
      <c r="J97" s="1664"/>
    </row>
    <row r="98" spans="1:10" ht="18">
      <c r="A98" s="2884"/>
      <c r="B98" s="2864">
        <v>7399</v>
      </c>
      <c r="C98" s="1949" t="str">
        <f>C44&amp;"（主表）"</f>
        <v>六、期末现金及现金等价物余额（主表）</v>
      </c>
      <c r="D98" s="1946" t="s">
        <v>5827</v>
      </c>
      <c r="E98" s="1950">
        <f>E44</f>
        <v>379964.14</v>
      </c>
      <c r="F98" s="1951">
        <f>F44</f>
        <v>799162.6</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799162.6</v>
      </c>
      <c r="F101" s="1951">
        <f>SUM(F75,F77)</f>
        <v>160826.12</v>
      </c>
      <c r="G101" s="1857"/>
      <c r="H101" s="1857"/>
      <c r="I101" s="1751"/>
      <c r="J101" s="1664"/>
    </row>
    <row r="102" spans="1:10" ht="18">
      <c r="A102" s="2884"/>
      <c r="B102" s="2864">
        <v>7349</v>
      </c>
      <c r="C102" s="1949" t="str">
        <f>C43&amp;"（主表）"</f>
        <v>加：期初现金及现金等价物余额（主表）</v>
      </c>
      <c r="D102" s="1946" t="s">
        <v>5827</v>
      </c>
      <c r="E102" s="1950">
        <f>E43</f>
        <v>799162.6</v>
      </c>
      <c r="F102" s="1951">
        <f>F43</f>
        <v>160826.12</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-419198.46</v>
      </c>
      <c r="F105" s="1951">
        <f>F78</f>
        <v>638336.48</v>
      </c>
      <c r="G105" s="1857"/>
      <c r="H105" s="1857"/>
      <c r="I105" s="1751"/>
      <c r="J105" s="1664"/>
    </row>
    <row r="106" spans="1:10" ht="18">
      <c r="A106" s="2884"/>
      <c r="B106" s="2864">
        <v>7348</v>
      </c>
      <c r="C106" s="1949" t="str">
        <f>C42&amp;"（主表）"</f>
        <v>五、现金及现金等价物净增加额（主表）</v>
      </c>
      <c r="D106" s="1946" t="s">
        <v>5827</v>
      </c>
      <c r="E106" s="1950">
        <f>E42</f>
        <v>-419198.46</v>
      </c>
      <c r="F106" s="1951">
        <f>F42</f>
        <v>638336.48</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3" priority="16" stopIfTrue="1" operator="notEqual">
      <formula>0</formula>
    </cfRule>
  </conditionalFormatting>
  <conditionalFormatting sqref="C80:D80 D81">
    <cfRule type="expression" dxfId="3912" priority="15" stopIfTrue="1">
      <formula>#REF!=TRUE</formula>
    </cfRule>
  </conditionalFormatting>
  <conditionalFormatting sqref="E109:F109 E95:F95 E90:F90 E99:F99 E103:F103 E107:F107 E85:F85">
    <cfRule type="cellIs" dxfId="3911" priority="14" stopIfTrue="1" operator="notEqual">
      <formula>0</formula>
    </cfRule>
  </conditionalFormatting>
  <conditionalFormatting sqref="C80:D80 D81">
    <cfRule type="expression" dxfId="3910" priority="13" stopIfTrue="1">
      <formula>#REF!=TRUE</formula>
    </cfRule>
  </conditionalFormatting>
  <conditionalFormatting sqref="E109:F109 E95:F95 E90:F90 E99:F99 E103:F103 E107:F107 E85:F85">
    <cfRule type="cellIs" dxfId="3909" priority="12" stopIfTrue="1" operator="notEqual">
      <formula>0</formula>
    </cfRule>
  </conditionalFormatting>
  <conditionalFormatting sqref="C80:D80 D81">
    <cfRule type="expression" dxfId="3908" priority="11" stopIfTrue="1">
      <formula>#REF!=TRUE</formula>
    </cfRule>
  </conditionalFormatting>
  <conditionalFormatting sqref="E109:F109 E95:F95 E90:F90 E99:F99 E103:F103 E107:F107 E85:F85">
    <cfRule type="cellIs" dxfId="3907" priority="10" stopIfTrue="1" operator="notEqual">
      <formula>0</formula>
    </cfRule>
  </conditionalFormatting>
  <conditionalFormatting sqref="C80:D80 D81">
    <cfRule type="expression" dxfId="3906" priority="9" stopIfTrue="1">
      <formula>#REF!=TRUE</formula>
    </cfRule>
  </conditionalFormatting>
  <conditionalFormatting sqref="E109:F109 E95:F95 E90:F90 E99:F99 E103:F103 E107:F107 E85:F85">
    <cfRule type="cellIs" dxfId="3905" priority="8" stopIfTrue="1" operator="notEqual">
      <formula>0</formula>
    </cfRule>
  </conditionalFormatting>
  <conditionalFormatting sqref="C80:D80 D81">
    <cfRule type="expression" dxfId="3904" priority="7" stopIfTrue="1">
      <formula>#REF!=TRUE</formula>
    </cfRule>
  </conditionalFormatting>
  <conditionalFormatting sqref="E109:F109 E95:F95 E90:F90 E99:F99 E103:F103 E107:F107 E85:F85">
    <cfRule type="cellIs" dxfId="3903" priority="6" stopIfTrue="1" operator="notEqual">
      <formula>0</formula>
    </cfRule>
  </conditionalFormatting>
  <conditionalFormatting sqref="C80:D80 D81">
    <cfRule type="expression" dxfId="3902" priority="5" stopIfTrue="1">
      <formula>#REF!=TRUE</formula>
    </cfRule>
  </conditionalFormatting>
  <conditionalFormatting sqref="E109:F109 E95:F95 E90:F90 E99:F99 E103:F103 E107:F107 E85:F85">
    <cfRule type="cellIs" dxfId="3901" priority="4" stopIfTrue="1" operator="notEqual">
      <formula>0</formula>
    </cfRule>
  </conditionalFormatting>
  <conditionalFormatting sqref="C80:D80 D81">
    <cfRule type="expression" dxfId="3900" priority="3" stopIfTrue="1">
      <formula>#REF!=TRUE</formula>
    </cfRule>
  </conditionalFormatting>
  <conditionalFormatting sqref="E109:F109 E95:F95 E90:F90 E99:F99 E103:F103 E107:F107 E85:F85">
    <cfRule type="cellIs" dxfId="3899" priority="2" stopIfTrue="1" operator="notEqual">
      <formula>0</formula>
    </cfRule>
  </conditionalFormatting>
  <conditionalFormatting sqref="C80:D80 D81">
    <cfRule type="expression" dxfId="3898"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3" workbookViewId="0">
      <selection activeCell="H58" sqref="A57:H58"/>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编制单位：北京鼎竑信息技术有限公司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126" t="str">
        <f>Lead!$F$7</f>
        <v>2019年度</v>
      </c>
      <c r="E6" s="3126"/>
      <c r="F6" s="3126"/>
      <c r="G6" s="3126"/>
      <c r="H6" s="3126"/>
      <c r="I6" s="3126"/>
      <c r="J6" s="3126"/>
      <c r="K6" s="3126"/>
      <c r="L6" s="3126"/>
      <c r="M6" s="3126"/>
      <c r="N6" s="3126"/>
      <c r="O6" s="3126"/>
      <c r="P6" s="3127"/>
      <c r="Q6" s="3128" t="str">
        <f>Lead!$F$8</f>
        <v>2018年度</v>
      </c>
      <c r="R6" s="3126"/>
      <c r="S6" s="3126"/>
      <c r="T6" s="3126"/>
      <c r="U6" s="3126"/>
      <c r="V6" s="3126"/>
      <c r="W6" s="3126"/>
      <c r="X6" s="3126"/>
      <c r="Y6" s="3126"/>
      <c r="Z6" s="3126"/>
      <c r="AA6" s="3126"/>
      <c r="AB6" s="3126"/>
      <c r="AC6" s="3127"/>
      <c r="AD6" s="1803"/>
      <c r="AE6" s="1803"/>
      <c r="AF6" s="1803"/>
      <c r="AG6" s="1803"/>
    </row>
    <row r="7" spans="1:33" ht="18" customHeight="1">
      <c r="A7" s="2835" t="s">
        <v>2556</v>
      </c>
      <c r="B7" s="2835" t="s">
        <v>2558</v>
      </c>
      <c r="C7" s="2897" t="s">
        <v>5134</v>
      </c>
      <c r="D7" s="3129" t="s">
        <v>5851</v>
      </c>
      <c r="E7" s="3130" t="s">
        <v>5795</v>
      </c>
      <c r="F7" s="3130"/>
      <c r="G7" s="3130"/>
      <c r="H7" s="3122" t="s">
        <v>592</v>
      </c>
      <c r="I7" s="3122" t="s">
        <v>682</v>
      </c>
      <c r="J7" s="3122" t="s">
        <v>5796</v>
      </c>
      <c r="K7" s="3122" t="s">
        <v>627</v>
      </c>
      <c r="L7" s="3122" t="s">
        <v>602</v>
      </c>
      <c r="M7" s="3124" t="s">
        <v>5873</v>
      </c>
      <c r="N7" s="3122" t="s">
        <v>611</v>
      </c>
      <c r="O7" s="3122" t="s">
        <v>932</v>
      </c>
      <c r="P7" s="3123" t="s">
        <v>2614</v>
      </c>
      <c r="Q7" s="3131" t="s">
        <v>5851</v>
      </c>
      <c r="R7" s="3130" t="s">
        <v>5795</v>
      </c>
      <c r="S7" s="3130"/>
      <c r="T7" s="3130"/>
      <c r="U7" s="3122" t="s">
        <v>592</v>
      </c>
      <c r="V7" s="3122" t="s">
        <v>682</v>
      </c>
      <c r="W7" s="3122" t="s">
        <v>5796</v>
      </c>
      <c r="X7" s="3122" t="s">
        <v>627</v>
      </c>
      <c r="Y7" s="3122" t="s">
        <v>602</v>
      </c>
      <c r="Z7" s="3124" t="s">
        <v>5873</v>
      </c>
      <c r="AA7" s="3122" t="s">
        <v>611</v>
      </c>
      <c r="AB7" s="3122" t="s">
        <v>932</v>
      </c>
      <c r="AC7" s="3123" t="s">
        <v>5850</v>
      </c>
      <c r="AD7" s="1806"/>
      <c r="AE7" s="1803"/>
      <c r="AF7" s="1803"/>
      <c r="AG7" s="1803"/>
    </row>
    <row r="8" spans="1:33" ht="18" customHeight="1">
      <c r="A8" s="2835"/>
      <c r="B8" s="2835"/>
      <c r="C8" s="2111" t="s">
        <v>5761</v>
      </c>
      <c r="D8" s="3129"/>
      <c r="E8" s="2094" t="s">
        <v>2662</v>
      </c>
      <c r="F8" s="2094" t="s">
        <v>2663</v>
      </c>
      <c r="G8" s="2094" t="s">
        <v>932</v>
      </c>
      <c r="H8" s="3122"/>
      <c r="I8" s="3122"/>
      <c r="J8" s="3122"/>
      <c r="K8" s="3122"/>
      <c r="L8" s="3122"/>
      <c r="M8" s="3125"/>
      <c r="N8" s="3122"/>
      <c r="O8" s="3122"/>
      <c r="P8" s="3123"/>
      <c r="Q8" s="3131"/>
      <c r="R8" s="2094" t="s">
        <v>2662</v>
      </c>
      <c r="S8" s="2094" t="s">
        <v>2663</v>
      </c>
      <c r="T8" s="2094" t="s">
        <v>932</v>
      </c>
      <c r="U8" s="3122"/>
      <c r="V8" s="3122"/>
      <c r="W8" s="3122"/>
      <c r="X8" s="3122"/>
      <c r="Y8" s="3122"/>
      <c r="Z8" s="3125"/>
      <c r="AA8" s="3122"/>
      <c r="AB8" s="3122"/>
      <c r="AC8" s="3123"/>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1000000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0</v>
      </c>
      <c r="Z9" s="2097"/>
      <c r="AA9" s="2097">
        <f t="shared" si="7"/>
        <v>-7897651.2000000002</v>
      </c>
      <c r="AB9" s="2097">
        <f t="shared" si="7"/>
        <v>0</v>
      </c>
      <c r="AC9" s="2098">
        <f t="shared" ref="AC9:AC35" ca="1" si="8">SUM(Q9:U9,-V9,W9:AB9)</f>
        <v>-6897651.2000000002</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1000000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0</v>
      </c>
      <c r="Z13" s="2097">
        <f t="shared" ref="Z13" si="12">SUM(Z9:Z12)</f>
        <v>0</v>
      </c>
      <c r="AA13" s="2097">
        <f t="shared" si="11"/>
        <v>-7897651.2000000002</v>
      </c>
      <c r="AB13" s="2097">
        <f t="shared" si="11"/>
        <v>0</v>
      </c>
      <c r="AC13" s="2098">
        <f t="shared" ca="1" si="8"/>
        <v>-6897651.2000000002</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1747379.72</v>
      </c>
      <c r="O14" s="2096">
        <f t="shared" si="13"/>
        <v>0</v>
      </c>
      <c r="P14" s="2114">
        <f t="shared" si="4"/>
        <v>1747379.72</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0</v>
      </c>
      <c r="Z14" s="2097"/>
      <c r="AA14" s="2097">
        <f t="shared" si="15"/>
        <v>5463681.9299999997</v>
      </c>
      <c r="AB14" s="2097">
        <f t="shared" si="15"/>
        <v>0</v>
      </c>
      <c r="AC14" s="2098">
        <f t="shared" ca="1" si="8"/>
        <v>5463681.9299999997</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1747379.72</v>
      </c>
      <c r="O15" s="2096">
        <f>IF(ISERROR(VLOOKUP(VALUE(O$2&amp;$B15),Sheet_Trialbal,6,0)),0,VLOOKUP(VALUE(O$2&amp;$B15),Sheet_Trialbal,6,0))</f>
        <v>0</v>
      </c>
      <c r="P15" s="2114">
        <f t="shared" si="4"/>
        <v>1747379.72</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5463681.9299999997</v>
      </c>
      <c r="AB15" s="2097">
        <f>IF(ISERROR(VLOOKUP(VALUE(AB$2&amp;$B15),Sheet_Trialbal,10,0)),0,VLOOKUP(VALUE(AB$2&amp;$B15),Sheet_Trialbal,10,0))</f>
        <v>0</v>
      </c>
      <c r="AC15" s="2098">
        <f t="shared" ca="1" si="8"/>
        <v>5463681.9299999997</v>
      </c>
      <c r="AD15" s="1803"/>
      <c r="AE15" s="1803"/>
      <c r="AF15" s="1803"/>
      <c r="AG15" s="1803"/>
    </row>
    <row r="16" spans="1:33" ht="21.95" customHeight="1">
      <c r="A16" s="2836" t="s">
        <v>287</v>
      </c>
      <c r="B16" s="2837" t="s">
        <v>2625</v>
      </c>
      <c r="C16" s="2100" t="str">
        <f>VLOOKUP(VALUE($P$2&amp;$B16),Sheet_Items,6,0)</f>
        <v>（二）所有者投入和减少资本</v>
      </c>
      <c r="D16" s="2096">
        <f t="shared" ref="D16:O16" si="16">SUM(D17:D20)</f>
        <v>0</v>
      </c>
      <c r="E16" s="2096">
        <f t="shared" si="16"/>
        <v>0</v>
      </c>
      <c r="F16" s="2096">
        <f t="shared" si="16"/>
        <v>0</v>
      </c>
      <c r="G16" s="2096">
        <f t="shared" si="16"/>
        <v>0</v>
      </c>
      <c r="H16" s="2096">
        <f t="shared" si="16"/>
        <v>0</v>
      </c>
      <c r="I16" s="2096">
        <f t="shared" si="16"/>
        <v>0</v>
      </c>
      <c r="J16" s="2096">
        <f t="shared" si="16"/>
        <v>0</v>
      </c>
      <c r="K16" s="2096">
        <f t="shared" si="16"/>
        <v>0</v>
      </c>
      <c r="L16" s="2096">
        <f t="shared" si="16"/>
        <v>0</v>
      </c>
      <c r="M16" s="2096">
        <f t="shared" ref="M16" si="17">SUM(M17:M20)</f>
        <v>0</v>
      </c>
      <c r="N16" s="2096">
        <f t="shared" si="16"/>
        <v>0</v>
      </c>
      <c r="O16" s="2096">
        <f t="shared" si="16"/>
        <v>0</v>
      </c>
      <c r="P16" s="2114">
        <f t="shared" si="4"/>
        <v>0</v>
      </c>
      <c r="Q16" s="2112">
        <f t="shared" ref="Q16:AB16" si="18">SUM(Q17:Q20)</f>
        <v>0</v>
      </c>
      <c r="R16" s="2097">
        <f t="shared" ca="1" si="18"/>
        <v>0</v>
      </c>
      <c r="S16" s="2097">
        <f t="shared" ca="1" si="18"/>
        <v>0</v>
      </c>
      <c r="T16" s="2097">
        <f t="shared" ca="1" si="18"/>
        <v>0</v>
      </c>
      <c r="U16" s="2097">
        <f t="shared" si="18"/>
        <v>0</v>
      </c>
      <c r="V16" s="2097">
        <f t="shared" si="18"/>
        <v>0</v>
      </c>
      <c r="W16" s="2097">
        <f t="shared" ca="1" si="18"/>
        <v>0</v>
      </c>
      <c r="X16" s="2097">
        <f t="shared" si="18"/>
        <v>0</v>
      </c>
      <c r="Y16" s="2097">
        <f t="shared" si="18"/>
        <v>0</v>
      </c>
      <c r="Z16" s="2097">
        <f t="shared" ref="Z16" si="19">SUM(Z17:Z20)</f>
        <v>0</v>
      </c>
      <c r="AA16" s="2097">
        <f t="shared" si="18"/>
        <v>0</v>
      </c>
      <c r="AB16" s="2097">
        <f t="shared" si="18"/>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0">IF(ISERROR(VLOOKUP(E$2&amp;$B17,Sheet_Trialbal,6,0)),0,VLOOKUP(E$2&amp;$B17,Sheet_Trialbal,6,0))</f>
        <v>0</v>
      </c>
      <c r="F17" s="2096">
        <f t="shared" si="20"/>
        <v>0</v>
      </c>
      <c r="G17" s="2096">
        <f t="shared" si="20"/>
        <v>0</v>
      </c>
      <c r="H17" s="2096">
        <f t="shared" ref="H17:I20" si="21">IF(ISERROR(VLOOKUP(VALUE(H$2&amp;$B17),Sheet_Trialbal,6,0)),0,VLOOKUP(VALUE(H$2&amp;$B17),Sheet_Trialbal,6,0))</f>
        <v>0</v>
      </c>
      <c r="I17" s="2096">
        <f t="shared" si="21"/>
        <v>0</v>
      </c>
      <c r="J17" s="2096">
        <f>IF(ISERROR(VLOOKUP(J$2&amp;$B17,Sheet_Trialbal,6,0)),0,VLOOKUP(J$2&amp;$B17,Sheet_Trialbal,6,0))</f>
        <v>0</v>
      </c>
      <c r="K17" s="2096">
        <f t="shared" ref="K17:O20" si="22">IF(ISERROR(VLOOKUP(VALUE(K$2&amp;$B17),Sheet_Trialbal,6,0)),0,VLOOKUP(VALUE(K$2&amp;$B17),Sheet_Trialbal,6,0))</f>
        <v>0</v>
      </c>
      <c r="L17" s="2096">
        <f t="shared" si="22"/>
        <v>0</v>
      </c>
      <c r="M17" s="2096">
        <f t="shared" si="22"/>
        <v>0</v>
      </c>
      <c r="N17" s="2096">
        <f t="shared" si="22"/>
        <v>0</v>
      </c>
      <c r="O17" s="2096">
        <f t="shared" si="22"/>
        <v>0</v>
      </c>
      <c r="P17" s="2114">
        <f t="shared" si="4"/>
        <v>0</v>
      </c>
      <c r="Q17" s="2112">
        <f>IF(ISERROR(VLOOKUP(VALUE(Q$2&amp;$B17),Sheet_Trialbal,10,0)),0,VLOOKUP(VALUE(Q$2&amp;$B17),Sheet_Trialbal,10,0))</f>
        <v>0</v>
      </c>
      <c r="R17" s="2097">
        <f t="shared" ref="R17:T20" ca="1" si="23">IF(ISERROR(VLOOKUP(R$2&amp;$B17,Sheet_Trialbal,10,0)),0,VLOOKUP(R$2&amp;$B17,Sheet_Trialbal,10,0))</f>
        <v>0</v>
      </c>
      <c r="S17" s="2097">
        <f t="shared" ca="1" si="23"/>
        <v>0</v>
      </c>
      <c r="T17" s="2097">
        <f t="shared" ca="1" si="23"/>
        <v>0</v>
      </c>
      <c r="U17" s="2097">
        <f t="shared" ref="U17:V20" si="24">IF(ISERROR(VLOOKUP(VALUE(U$2&amp;$B17),Sheet_Trialbal,10,0)),0,VLOOKUP(VALUE(U$2&amp;$B17),Sheet_Trialbal,10,0))</f>
        <v>0</v>
      </c>
      <c r="V17" s="2097">
        <f t="shared" si="24"/>
        <v>0</v>
      </c>
      <c r="W17" s="2097">
        <f ca="1">IF(ISERROR(VLOOKUP(W$2&amp;$B17,Sheet_Trialbal,10,0)),0,VLOOKUP(W$2&amp;$B17,Sheet_Trialbal,10,0))</f>
        <v>0</v>
      </c>
      <c r="X17" s="2097">
        <f t="shared" ref="X17:AB20" si="25">IF(ISERROR(VLOOKUP(VALUE(X$2&amp;$B17),Sheet_Trialbal,10,0)),0,VLOOKUP(VALUE(X$2&amp;$B17),Sheet_Trialbal,10,0))</f>
        <v>0</v>
      </c>
      <c r="Y17" s="2097">
        <f t="shared" si="25"/>
        <v>0</v>
      </c>
      <c r="Z17" s="2097">
        <f t="shared" si="25"/>
        <v>0</v>
      </c>
      <c r="AA17" s="2097">
        <f t="shared" si="25"/>
        <v>0</v>
      </c>
      <c r="AB17" s="2097">
        <f t="shared" si="25"/>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0"/>
        <v>0</v>
      </c>
      <c r="F18" s="2096">
        <f t="shared" si="20"/>
        <v>0</v>
      </c>
      <c r="G18" s="2096">
        <f t="shared" si="20"/>
        <v>0</v>
      </c>
      <c r="H18" s="2096">
        <f t="shared" si="21"/>
        <v>0</v>
      </c>
      <c r="I18" s="2096">
        <f t="shared" si="21"/>
        <v>0</v>
      </c>
      <c r="J18" s="2096">
        <f>IF(ISERROR(VLOOKUP(J$2&amp;$B18,Sheet_Trialbal,6,0)),0,VLOOKUP(J$2&amp;$B18,Sheet_Trialbal,6,0))</f>
        <v>0</v>
      </c>
      <c r="K18" s="2096">
        <f t="shared" si="22"/>
        <v>0</v>
      </c>
      <c r="L18" s="2096">
        <f t="shared" si="22"/>
        <v>0</v>
      </c>
      <c r="M18" s="2096">
        <f t="shared" si="22"/>
        <v>0</v>
      </c>
      <c r="N18" s="2096">
        <f t="shared" si="22"/>
        <v>0</v>
      </c>
      <c r="O18" s="2096">
        <f t="shared" si="22"/>
        <v>0</v>
      </c>
      <c r="P18" s="2114">
        <f t="shared" si="4"/>
        <v>0</v>
      </c>
      <c r="Q18" s="2112">
        <f>IF(ISERROR(VLOOKUP(VALUE(Q$2&amp;$B18),Sheet_Trialbal,10,0)),0,VLOOKUP(VALUE(Q$2&amp;$B18),Sheet_Trialbal,10,0))</f>
        <v>0</v>
      </c>
      <c r="R18" s="2097">
        <f t="shared" ca="1" si="23"/>
        <v>0</v>
      </c>
      <c r="S18" s="2097">
        <f t="shared" ca="1" si="23"/>
        <v>0</v>
      </c>
      <c r="T18" s="2097">
        <f t="shared" ca="1" si="23"/>
        <v>0</v>
      </c>
      <c r="U18" s="2097">
        <f t="shared" si="24"/>
        <v>0</v>
      </c>
      <c r="V18" s="2097">
        <f t="shared" si="24"/>
        <v>0</v>
      </c>
      <c r="W18" s="2097">
        <f ca="1">IF(ISERROR(VLOOKUP(W$2&amp;$B18,Sheet_Trialbal,10,0)),0,VLOOKUP(W$2&amp;$B18,Sheet_Trialbal,10,0))</f>
        <v>0</v>
      </c>
      <c r="X18" s="2097">
        <f t="shared" si="25"/>
        <v>0</v>
      </c>
      <c r="Y18" s="2097">
        <f t="shared" si="25"/>
        <v>0</v>
      </c>
      <c r="Z18" s="2097">
        <f t="shared" si="25"/>
        <v>0</v>
      </c>
      <c r="AA18" s="2097">
        <f t="shared" si="25"/>
        <v>0</v>
      </c>
      <c r="AB18" s="2097">
        <f t="shared" si="25"/>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0"/>
        <v>0</v>
      </c>
      <c r="F19" s="2096">
        <f t="shared" si="20"/>
        <v>0</v>
      </c>
      <c r="G19" s="2096">
        <f t="shared" si="20"/>
        <v>0</v>
      </c>
      <c r="H19" s="2096">
        <f t="shared" si="21"/>
        <v>0</v>
      </c>
      <c r="I19" s="2096">
        <f t="shared" si="21"/>
        <v>0</v>
      </c>
      <c r="J19" s="2096">
        <f>IF(ISERROR(VLOOKUP(J$2&amp;$B19,Sheet_Trialbal,6,0)),0,VLOOKUP(J$2&amp;$B19,Sheet_Trialbal,6,0))</f>
        <v>0</v>
      </c>
      <c r="K19" s="2096">
        <f t="shared" si="22"/>
        <v>0</v>
      </c>
      <c r="L19" s="2096">
        <f t="shared" si="22"/>
        <v>0</v>
      </c>
      <c r="M19" s="2096">
        <f t="shared" si="22"/>
        <v>0</v>
      </c>
      <c r="N19" s="2096">
        <f t="shared" si="22"/>
        <v>0</v>
      </c>
      <c r="O19" s="2096">
        <f t="shared" si="22"/>
        <v>0</v>
      </c>
      <c r="P19" s="2114">
        <f t="shared" si="4"/>
        <v>0</v>
      </c>
      <c r="Q19" s="2112">
        <f>IF(ISERROR(VLOOKUP(VALUE(Q$2&amp;$B19),Sheet_Trialbal,10,0)),0,VLOOKUP(VALUE(Q$2&amp;$B19),Sheet_Trialbal,10,0))</f>
        <v>0</v>
      </c>
      <c r="R19" s="2097">
        <f t="shared" ca="1" si="23"/>
        <v>0</v>
      </c>
      <c r="S19" s="2097">
        <f t="shared" ca="1" si="23"/>
        <v>0</v>
      </c>
      <c r="T19" s="2097">
        <f t="shared" ca="1" si="23"/>
        <v>0</v>
      </c>
      <c r="U19" s="2097">
        <f t="shared" si="24"/>
        <v>0</v>
      </c>
      <c r="V19" s="2097">
        <f t="shared" si="24"/>
        <v>0</v>
      </c>
      <c r="W19" s="2097">
        <f ca="1">IF(ISERROR(VLOOKUP(W$2&amp;$B19,Sheet_Trialbal,10,0)),0,VLOOKUP(W$2&amp;$B19,Sheet_Trialbal,10,0))</f>
        <v>0</v>
      </c>
      <c r="X19" s="2097">
        <f t="shared" si="25"/>
        <v>0</v>
      </c>
      <c r="Y19" s="2097">
        <f t="shared" si="25"/>
        <v>0</v>
      </c>
      <c r="Z19" s="2097">
        <f t="shared" si="25"/>
        <v>0</v>
      </c>
      <c r="AA19" s="2097">
        <f t="shared" si="25"/>
        <v>0</v>
      </c>
      <c r="AB19" s="2097">
        <f t="shared" si="25"/>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0"/>
        <v>0</v>
      </c>
      <c r="F20" s="2096">
        <f t="shared" si="20"/>
        <v>0</v>
      </c>
      <c r="G20" s="2096">
        <f t="shared" si="20"/>
        <v>0</v>
      </c>
      <c r="H20" s="2096">
        <f t="shared" si="21"/>
        <v>0</v>
      </c>
      <c r="I20" s="2096">
        <f t="shared" si="21"/>
        <v>0</v>
      </c>
      <c r="J20" s="2096">
        <f>IF(ISERROR(VLOOKUP(J$2&amp;$B20,Sheet_Trialbal,6,0)),0,VLOOKUP(J$2&amp;$B20,Sheet_Trialbal,6,0))</f>
        <v>0</v>
      </c>
      <c r="K20" s="2096">
        <f t="shared" si="22"/>
        <v>0</v>
      </c>
      <c r="L20" s="2096">
        <f t="shared" si="22"/>
        <v>0</v>
      </c>
      <c r="M20" s="2096">
        <f t="shared" si="22"/>
        <v>0</v>
      </c>
      <c r="N20" s="2096">
        <f t="shared" si="22"/>
        <v>0</v>
      </c>
      <c r="O20" s="2096">
        <f t="shared" si="22"/>
        <v>0</v>
      </c>
      <c r="P20" s="2114">
        <f t="shared" si="4"/>
        <v>0</v>
      </c>
      <c r="Q20" s="2112">
        <f>IF(ISERROR(VLOOKUP(VALUE(Q$2&amp;$B20),Sheet_Trialbal,10,0)),0,VLOOKUP(VALUE(Q$2&amp;$B20),Sheet_Trialbal,10,0))</f>
        <v>0</v>
      </c>
      <c r="R20" s="2097">
        <f t="shared" ca="1" si="23"/>
        <v>0</v>
      </c>
      <c r="S20" s="2097">
        <f t="shared" ca="1" si="23"/>
        <v>0</v>
      </c>
      <c r="T20" s="2097">
        <f t="shared" ca="1" si="23"/>
        <v>0</v>
      </c>
      <c r="U20" s="2097">
        <f t="shared" si="24"/>
        <v>0</v>
      </c>
      <c r="V20" s="2097">
        <f t="shared" si="24"/>
        <v>0</v>
      </c>
      <c r="W20" s="2097">
        <f ca="1">IF(ISERROR(VLOOKUP(W$2&amp;$B20,Sheet_Trialbal,10,0)),0,VLOOKUP(W$2&amp;$B20,Sheet_Trialbal,10,0))</f>
        <v>0</v>
      </c>
      <c r="X20" s="2097">
        <f t="shared" si="25"/>
        <v>0</v>
      </c>
      <c r="Y20" s="2097">
        <f t="shared" si="25"/>
        <v>0</v>
      </c>
      <c r="Z20" s="2097">
        <f t="shared" si="25"/>
        <v>0</v>
      </c>
      <c r="AA20" s="2097">
        <f t="shared" si="25"/>
        <v>0</v>
      </c>
      <c r="AB20" s="2097">
        <f t="shared" si="25"/>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6">SUM(D22:D24)</f>
        <v>0</v>
      </c>
      <c r="E21" s="2096">
        <f t="shared" si="26"/>
        <v>0</v>
      </c>
      <c r="F21" s="2096">
        <f t="shared" si="26"/>
        <v>0</v>
      </c>
      <c r="G21" s="2096">
        <f t="shared" si="26"/>
        <v>0</v>
      </c>
      <c r="H21" s="2096">
        <f t="shared" si="26"/>
        <v>0</v>
      </c>
      <c r="I21" s="2096">
        <f t="shared" si="26"/>
        <v>0</v>
      </c>
      <c r="J21" s="2096">
        <f t="shared" si="26"/>
        <v>0</v>
      </c>
      <c r="K21" s="2096">
        <f t="shared" si="26"/>
        <v>0</v>
      </c>
      <c r="L21" s="2096">
        <f t="shared" si="26"/>
        <v>0</v>
      </c>
      <c r="M21" s="2096">
        <f t="shared" ref="M21" si="27">SUM(M22:M24)</f>
        <v>0</v>
      </c>
      <c r="N21" s="2096">
        <f t="shared" si="26"/>
        <v>0</v>
      </c>
      <c r="O21" s="2096">
        <f t="shared" si="26"/>
        <v>0</v>
      </c>
      <c r="P21" s="2114">
        <f t="shared" si="4"/>
        <v>0</v>
      </c>
      <c r="Q21" s="2112">
        <f t="shared" ref="Q21:AB21" si="28">SUM(Q22:Q24)</f>
        <v>0</v>
      </c>
      <c r="R21" s="2097">
        <f t="shared" ca="1" si="28"/>
        <v>0</v>
      </c>
      <c r="S21" s="2097">
        <f t="shared" ca="1" si="28"/>
        <v>0</v>
      </c>
      <c r="T21" s="2097">
        <f t="shared" ca="1" si="28"/>
        <v>0</v>
      </c>
      <c r="U21" s="2097">
        <f t="shared" si="28"/>
        <v>0</v>
      </c>
      <c r="V21" s="2097">
        <f t="shared" si="28"/>
        <v>0</v>
      </c>
      <c r="W21" s="2097">
        <f t="shared" ca="1" si="28"/>
        <v>0</v>
      </c>
      <c r="X21" s="2097">
        <f t="shared" si="28"/>
        <v>0</v>
      </c>
      <c r="Y21" s="2097">
        <f t="shared" si="28"/>
        <v>0</v>
      </c>
      <c r="Z21" s="2097">
        <f t="shared" ref="Z21" si="29">SUM(Z22:Z24)</f>
        <v>0</v>
      </c>
      <c r="AA21" s="2097">
        <f t="shared" si="28"/>
        <v>0</v>
      </c>
      <c r="AB21" s="2097">
        <f t="shared" si="28"/>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30">IF(ISERROR(VLOOKUP(E$2&amp;$B22,Sheet_Trialbal,6,0)),0,VLOOKUP(E$2&amp;$B22,Sheet_Trialbal,6,0))</f>
        <v>0</v>
      </c>
      <c r="F22" s="2096">
        <f t="shared" si="30"/>
        <v>0</v>
      </c>
      <c r="G22" s="2096">
        <f t="shared" si="30"/>
        <v>0</v>
      </c>
      <c r="H22" s="2096">
        <f t="shared" ref="H22:I24" si="31">IF(ISERROR(VLOOKUP(VALUE(H$2&amp;$B22),Sheet_Trialbal,6,0)),0,VLOOKUP(VALUE(H$2&amp;$B22),Sheet_Trialbal,6,0))</f>
        <v>0</v>
      </c>
      <c r="I22" s="2096">
        <f t="shared" si="31"/>
        <v>0</v>
      </c>
      <c r="J22" s="2096">
        <f>IF(ISERROR(VLOOKUP(J$2&amp;$B22,Sheet_Trialbal,6,0)),0,VLOOKUP(J$2&amp;$B22,Sheet_Trialbal,6,0))</f>
        <v>0</v>
      </c>
      <c r="K22" s="2096">
        <f t="shared" ref="K22:O24" si="32">IF(ISERROR(VLOOKUP(VALUE(K$2&amp;$B22),Sheet_Trialbal,6,0)),0,VLOOKUP(VALUE(K$2&amp;$B22),Sheet_Trialbal,6,0))</f>
        <v>0</v>
      </c>
      <c r="L22" s="2096">
        <f t="shared" si="32"/>
        <v>0</v>
      </c>
      <c r="M22" s="2096">
        <f t="shared" si="32"/>
        <v>0</v>
      </c>
      <c r="N22" s="2096">
        <f t="shared" si="32"/>
        <v>0</v>
      </c>
      <c r="O22" s="2096">
        <f t="shared" si="32"/>
        <v>0</v>
      </c>
      <c r="P22" s="2114">
        <f t="shared" si="4"/>
        <v>0</v>
      </c>
      <c r="Q22" s="2112">
        <f>IF(ISERROR(VLOOKUP(VALUE(Q$2&amp;$B22),Sheet_Trialbal,10,0)),0,VLOOKUP(VALUE(Q$2&amp;$B22),Sheet_Trialbal,10,0))</f>
        <v>0</v>
      </c>
      <c r="R22" s="2097">
        <f t="shared" ref="R22:T24" ca="1" si="33">IF(ISERROR(VLOOKUP(R$2&amp;$B22,Sheet_Trialbal,10,0)),0,VLOOKUP(R$2&amp;$B22,Sheet_Trialbal,10,0))</f>
        <v>0</v>
      </c>
      <c r="S22" s="2097">
        <f t="shared" ca="1" si="33"/>
        <v>0</v>
      </c>
      <c r="T22" s="2097">
        <f t="shared" ca="1" si="33"/>
        <v>0</v>
      </c>
      <c r="U22" s="2097">
        <f t="shared" ref="U22:V24" si="34">IF(ISERROR(VLOOKUP(VALUE(U$2&amp;$B22),Sheet_Trialbal,10,0)),0,VLOOKUP(VALUE(U$2&amp;$B22),Sheet_Trialbal,10,0))</f>
        <v>0</v>
      </c>
      <c r="V22" s="2097">
        <f t="shared" si="34"/>
        <v>0</v>
      </c>
      <c r="W22" s="2097">
        <f ca="1">IF(ISERROR(VLOOKUP(W$2&amp;$B22,Sheet_Trialbal,10,0)),0,VLOOKUP(W$2&amp;$B22,Sheet_Trialbal,10,0))</f>
        <v>0</v>
      </c>
      <c r="X22" s="2097">
        <f t="shared" ref="X22:AB24" si="35">IF(ISERROR(VLOOKUP(VALUE(X$2&amp;$B22),Sheet_Trialbal,10,0)),0,VLOOKUP(VALUE(X$2&amp;$B22),Sheet_Trialbal,10,0))</f>
        <v>0</v>
      </c>
      <c r="Y22" s="2097">
        <f t="shared" si="35"/>
        <v>0</v>
      </c>
      <c r="Z22" s="2097">
        <f t="shared" si="35"/>
        <v>0</v>
      </c>
      <c r="AA22" s="2097">
        <f t="shared" si="35"/>
        <v>0</v>
      </c>
      <c r="AB22" s="2097">
        <f t="shared" si="35"/>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30"/>
        <v>0</v>
      </c>
      <c r="F23" s="2096">
        <f t="shared" si="30"/>
        <v>0</v>
      </c>
      <c r="G23" s="2096">
        <f t="shared" si="30"/>
        <v>0</v>
      </c>
      <c r="H23" s="2096">
        <f t="shared" si="31"/>
        <v>0</v>
      </c>
      <c r="I23" s="2096">
        <f t="shared" si="31"/>
        <v>0</v>
      </c>
      <c r="J23" s="2096">
        <f>IF(ISERROR(VLOOKUP(J$2&amp;$B23,Sheet_Trialbal,6,0)),0,VLOOKUP(J$2&amp;$B23,Sheet_Trialbal,6,0))</f>
        <v>0</v>
      </c>
      <c r="K23" s="2096">
        <f t="shared" si="32"/>
        <v>0</v>
      </c>
      <c r="L23" s="2096">
        <f t="shared" si="32"/>
        <v>0</v>
      </c>
      <c r="M23" s="2096">
        <f t="shared" si="32"/>
        <v>0</v>
      </c>
      <c r="N23" s="2096">
        <f t="shared" si="32"/>
        <v>0</v>
      </c>
      <c r="O23" s="2096">
        <f t="shared" si="32"/>
        <v>0</v>
      </c>
      <c r="P23" s="2114">
        <f t="shared" si="4"/>
        <v>0</v>
      </c>
      <c r="Q23" s="2112">
        <f>IF(ISERROR(VLOOKUP(VALUE(Q$2&amp;$B23),Sheet_Trialbal,10,0)),0,VLOOKUP(VALUE(Q$2&amp;$B23),Sheet_Trialbal,10,0))</f>
        <v>0</v>
      </c>
      <c r="R23" s="2097">
        <f t="shared" ca="1" si="33"/>
        <v>0</v>
      </c>
      <c r="S23" s="2097">
        <f t="shared" ca="1" si="33"/>
        <v>0</v>
      </c>
      <c r="T23" s="2097">
        <f t="shared" ca="1" si="33"/>
        <v>0</v>
      </c>
      <c r="U23" s="2097">
        <f t="shared" si="34"/>
        <v>0</v>
      </c>
      <c r="V23" s="2097">
        <f t="shared" si="34"/>
        <v>0</v>
      </c>
      <c r="W23" s="2097">
        <f ca="1">IF(ISERROR(VLOOKUP(W$2&amp;$B23,Sheet_Trialbal,10,0)),0,VLOOKUP(W$2&amp;$B23,Sheet_Trialbal,10,0))</f>
        <v>0</v>
      </c>
      <c r="X23" s="2097">
        <f t="shared" si="35"/>
        <v>0</v>
      </c>
      <c r="Y23" s="2097">
        <f t="shared" si="35"/>
        <v>0</v>
      </c>
      <c r="Z23" s="2097">
        <f t="shared" si="35"/>
        <v>0</v>
      </c>
      <c r="AA23" s="2097">
        <f t="shared" si="35"/>
        <v>0</v>
      </c>
      <c r="AB23" s="2097">
        <f t="shared" si="35"/>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30"/>
        <v>0</v>
      </c>
      <c r="F24" s="2096">
        <f t="shared" si="30"/>
        <v>0</v>
      </c>
      <c r="G24" s="2096">
        <f t="shared" si="30"/>
        <v>0</v>
      </c>
      <c r="H24" s="2096">
        <f t="shared" si="31"/>
        <v>0</v>
      </c>
      <c r="I24" s="2096">
        <f t="shared" si="31"/>
        <v>0</v>
      </c>
      <c r="J24" s="2096">
        <f>IF(ISERROR(VLOOKUP(J$2&amp;$B24,Sheet_Trialbal,6,0)),0,VLOOKUP(J$2&amp;$B24,Sheet_Trialbal,6,0))</f>
        <v>0</v>
      </c>
      <c r="K24" s="2096">
        <f t="shared" si="32"/>
        <v>0</v>
      </c>
      <c r="L24" s="2096">
        <f t="shared" si="32"/>
        <v>0</v>
      </c>
      <c r="M24" s="2096">
        <f t="shared" si="32"/>
        <v>0</v>
      </c>
      <c r="N24" s="2096">
        <f t="shared" si="32"/>
        <v>0</v>
      </c>
      <c r="O24" s="2096">
        <f t="shared" si="32"/>
        <v>0</v>
      </c>
      <c r="P24" s="2114">
        <f t="shared" si="4"/>
        <v>0</v>
      </c>
      <c r="Q24" s="2112">
        <f>IF(ISERROR(VLOOKUP(VALUE(Q$2&amp;$B24),Sheet_Trialbal,10,0)),0,VLOOKUP(VALUE(Q$2&amp;$B24),Sheet_Trialbal,10,0))</f>
        <v>0</v>
      </c>
      <c r="R24" s="2097">
        <f t="shared" ca="1" si="33"/>
        <v>0</v>
      </c>
      <c r="S24" s="2097">
        <f t="shared" ca="1" si="33"/>
        <v>0</v>
      </c>
      <c r="T24" s="2097">
        <f t="shared" ca="1" si="33"/>
        <v>0</v>
      </c>
      <c r="U24" s="2097">
        <f t="shared" si="34"/>
        <v>0</v>
      </c>
      <c r="V24" s="2097">
        <f t="shared" si="34"/>
        <v>0</v>
      </c>
      <c r="W24" s="2097">
        <f ca="1">IF(ISERROR(VLOOKUP(W$2&amp;$B24,Sheet_Trialbal,10,0)),0,VLOOKUP(W$2&amp;$B24,Sheet_Trialbal,10,0))</f>
        <v>0</v>
      </c>
      <c r="X24" s="2097">
        <f t="shared" si="35"/>
        <v>0</v>
      </c>
      <c r="Y24" s="2097">
        <f t="shared" si="35"/>
        <v>0</v>
      </c>
      <c r="Z24" s="2097">
        <f t="shared" si="35"/>
        <v>0</v>
      </c>
      <c r="AA24" s="2097">
        <f t="shared" si="35"/>
        <v>0</v>
      </c>
      <c r="AB24" s="2097">
        <f t="shared" si="35"/>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6">SUM(D26:D31)</f>
        <v>0</v>
      </c>
      <c r="E25" s="2096">
        <f t="shared" si="36"/>
        <v>0</v>
      </c>
      <c r="F25" s="2096">
        <f t="shared" si="36"/>
        <v>0</v>
      </c>
      <c r="G25" s="2096">
        <f t="shared" si="36"/>
        <v>0</v>
      </c>
      <c r="H25" s="2096">
        <f t="shared" si="36"/>
        <v>0</v>
      </c>
      <c r="I25" s="2096">
        <f t="shared" si="36"/>
        <v>0</v>
      </c>
      <c r="J25" s="2096">
        <f t="shared" si="36"/>
        <v>0</v>
      </c>
      <c r="K25" s="2096">
        <f t="shared" si="36"/>
        <v>0</v>
      </c>
      <c r="L25" s="2096">
        <f t="shared" si="36"/>
        <v>0</v>
      </c>
      <c r="M25" s="2096">
        <f t="shared" ref="M25" si="37">SUM(M26:M31)</f>
        <v>0</v>
      </c>
      <c r="N25" s="2096">
        <f t="shared" si="36"/>
        <v>0</v>
      </c>
      <c r="O25" s="2096">
        <f t="shared" si="36"/>
        <v>0</v>
      </c>
      <c r="P25" s="2114">
        <f t="shared" si="4"/>
        <v>0</v>
      </c>
      <c r="Q25" s="2112">
        <f t="shared" ref="Q25:AB25" si="38">SUM(Q26:Q31)</f>
        <v>0</v>
      </c>
      <c r="R25" s="2097">
        <f t="shared" ca="1" si="38"/>
        <v>0</v>
      </c>
      <c r="S25" s="2097">
        <f t="shared" ca="1" si="38"/>
        <v>0</v>
      </c>
      <c r="T25" s="2097">
        <f t="shared" ca="1" si="38"/>
        <v>0</v>
      </c>
      <c r="U25" s="2097">
        <f t="shared" si="38"/>
        <v>0</v>
      </c>
      <c r="V25" s="2097">
        <f t="shared" si="38"/>
        <v>0</v>
      </c>
      <c r="W25" s="2097">
        <f t="shared" ca="1" si="38"/>
        <v>0</v>
      </c>
      <c r="X25" s="2097">
        <f t="shared" si="38"/>
        <v>0</v>
      </c>
      <c r="Y25" s="2097">
        <f t="shared" si="38"/>
        <v>0</v>
      </c>
      <c r="Z25" s="2097">
        <f t="shared" ref="Z25" si="39">SUM(Z26:Z31)</f>
        <v>0</v>
      </c>
      <c r="AA25" s="2097">
        <f t="shared" si="38"/>
        <v>0</v>
      </c>
      <c r="AB25" s="2097">
        <f t="shared" si="38"/>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40">IF(ISERROR(VLOOKUP(VALUE(D$2&amp;$B26),Sheet_Trialbal,6,0)),0,VLOOKUP(VALUE(D$2&amp;$B26),Sheet_Trialbal,6,0))</f>
        <v>0</v>
      </c>
      <c r="E26" s="2096">
        <f t="shared" ref="E26:G31" si="41">IF(ISERROR(VLOOKUP(E$2&amp;$B26,Sheet_Trialbal,6,0)),0,VLOOKUP(E$2&amp;$B26,Sheet_Trialbal,6,0))</f>
        <v>0</v>
      </c>
      <c r="F26" s="2096">
        <f t="shared" si="41"/>
        <v>0</v>
      </c>
      <c r="G26" s="2096">
        <f t="shared" si="41"/>
        <v>0</v>
      </c>
      <c r="H26" s="2096">
        <f t="shared" ref="H26:I31" si="42">IF(ISERROR(VLOOKUP(VALUE(H$2&amp;$B26),Sheet_Trialbal,6,0)),0,VLOOKUP(VALUE(H$2&amp;$B26),Sheet_Trialbal,6,0))</f>
        <v>0</v>
      </c>
      <c r="I26" s="2096">
        <f t="shared" si="42"/>
        <v>0</v>
      </c>
      <c r="J26" s="2096">
        <f t="shared" ref="J26:J31" si="43">IF(ISERROR(VLOOKUP(J$2&amp;$B26,Sheet_Trialbal,6,0)),0,VLOOKUP(J$2&amp;$B26,Sheet_Trialbal,6,0))</f>
        <v>0</v>
      </c>
      <c r="K26" s="2096">
        <f t="shared" ref="K26:O31" si="44">IF(ISERROR(VLOOKUP(VALUE(K$2&amp;$B26),Sheet_Trialbal,6,0)),0,VLOOKUP(VALUE(K$2&amp;$B26),Sheet_Trialbal,6,0))</f>
        <v>0</v>
      </c>
      <c r="L26" s="2096">
        <f t="shared" si="44"/>
        <v>0</v>
      </c>
      <c r="M26" s="2096">
        <f t="shared" si="44"/>
        <v>0</v>
      </c>
      <c r="N26" s="2096">
        <f t="shared" si="44"/>
        <v>0</v>
      </c>
      <c r="O26" s="2096">
        <f t="shared" si="44"/>
        <v>0</v>
      </c>
      <c r="P26" s="2114">
        <f t="shared" si="4"/>
        <v>0</v>
      </c>
      <c r="Q26" s="2112">
        <f t="shared" ref="Q26:Q31" si="45">IF(ISERROR(VLOOKUP(VALUE(Q$2&amp;$B26),Sheet_Trialbal,10,0)),0,VLOOKUP(VALUE(Q$2&amp;$B26),Sheet_Trialbal,10,0))</f>
        <v>0</v>
      </c>
      <c r="R26" s="2097">
        <f t="shared" ref="R26:T31" ca="1" si="46">IF(ISERROR(VLOOKUP(R$2&amp;$B26,Sheet_Trialbal,10,0)),0,VLOOKUP(R$2&amp;$B26,Sheet_Trialbal,10,0))</f>
        <v>0</v>
      </c>
      <c r="S26" s="2097">
        <f t="shared" ca="1" si="46"/>
        <v>0</v>
      </c>
      <c r="T26" s="2097">
        <f t="shared" ca="1" si="46"/>
        <v>0</v>
      </c>
      <c r="U26" s="2097">
        <f t="shared" ref="U26:V31" si="47">IF(ISERROR(VLOOKUP(VALUE(U$2&amp;$B26),Sheet_Trialbal,10,0)),0,VLOOKUP(VALUE(U$2&amp;$B26),Sheet_Trialbal,10,0))</f>
        <v>0</v>
      </c>
      <c r="V26" s="2097">
        <f t="shared" si="47"/>
        <v>0</v>
      </c>
      <c r="W26" s="2097">
        <f t="shared" ref="W26:W31" ca="1" si="48">IF(ISERROR(VLOOKUP(W$2&amp;$B26,Sheet_Trialbal,10,0)),0,VLOOKUP(W$2&amp;$B26,Sheet_Trialbal,10,0))</f>
        <v>0</v>
      </c>
      <c r="X26" s="2097">
        <f t="shared" ref="X26:AB31" si="49">IF(ISERROR(VLOOKUP(VALUE(X$2&amp;$B26),Sheet_Trialbal,10,0)),0,VLOOKUP(VALUE(X$2&amp;$B26),Sheet_Trialbal,10,0))</f>
        <v>0</v>
      </c>
      <c r="Y26" s="2097">
        <f t="shared" si="49"/>
        <v>0</v>
      </c>
      <c r="Z26" s="2097">
        <f t="shared" si="49"/>
        <v>0</v>
      </c>
      <c r="AA26" s="2097">
        <f t="shared" si="49"/>
        <v>0</v>
      </c>
      <c r="AB26" s="2097">
        <f t="shared" si="49"/>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40"/>
        <v>0</v>
      </c>
      <c r="E27" s="2096">
        <f t="shared" si="41"/>
        <v>0</v>
      </c>
      <c r="F27" s="2096">
        <f t="shared" si="41"/>
        <v>0</v>
      </c>
      <c r="G27" s="2096">
        <f t="shared" si="41"/>
        <v>0</v>
      </c>
      <c r="H27" s="2096">
        <f t="shared" si="42"/>
        <v>0</v>
      </c>
      <c r="I27" s="2096">
        <f t="shared" si="42"/>
        <v>0</v>
      </c>
      <c r="J27" s="2096">
        <f t="shared" si="43"/>
        <v>0</v>
      </c>
      <c r="K27" s="2096">
        <f t="shared" si="44"/>
        <v>0</v>
      </c>
      <c r="L27" s="2096">
        <f t="shared" si="44"/>
        <v>0</v>
      </c>
      <c r="M27" s="2096">
        <f t="shared" si="44"/>
        <v>0</v>
      </c>
      <c r="N27" s="2096">
        <f t="shared" si="44"/>
        <v>0</v>
      </c>
      <c r="O27" s="2096">
        <f t="shared" si="44"/>
        <v>0</v>
      </c>
      <c r="P27" s="2114">
        <f t="shared" si="4"/>
        <v>0</v>
      </c>
      <c r="Q27" s="2112">
        <f t="shared" si="45"/>
        <v>0</v>
      </c>
      <c r="R27" s="2097">
        <f t="shared" ca="1" si="46"/>
        <v>0</v>
      </c>
      <c r="S27" s="2097">
        <f t="shared" ca="1" si="46"/>
        <v>0</v>
      </c>
      <c r="T27" s="2097">
        <f t="shared" ca="1" si="46"/>
        <v>0</v>
      </c>
      <c r="U27" s="2097">
        <f t="shared" si="47"/>
        <v>0</v>
      </c>
      <c r="V27" s="2097">
        <f t="shared" si="47"/>
        <v>0</v>
      </c>
      <c r="W27" s="2097">
        <f t="shared" ca="1" si="48"/>
        <v>0</v>
      </c>
      <c r="X27" s="2097">
        <f t="shared" si="49"/>
        <v>0</v>
      </c>
      <c r="Y27" s="2097">
        <f t="shared" si="49"/>
        <v>0</v>
      </c>
      <c r="Z27" s="2097">
        <f t="shared" si="49"/>
        <v>0</v>
      </c>
      <c r="AA27" s="2097">
        <f t="shared" si="49"/>
        <v>0</v>
      </c>
      <c r="AB27" s="2097">
        <f t="shared" si="49"/>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40"/>
        <v>0</v>
      </c>
      <c r="E28" s="2096">
        <f t="shared" si="41"/>
        <v>0</v>
      </c>
      <c r="F28" s="2096">
        <f t="shared" si="41"/>
        <v>0</v>
      </c>
      <c r="G28" s="2096">
        <f t="shared" si="41"/>
        <v>0</v>
      </c>
      <c r="H28" s="2096">
        <f t="shared" si="42"/>
        <v>0</v>
      </c>
      <c r="I28" s="2096">
        <f t="shared" si="42"/>
        <v>0</v>
      </c>
      <c r="J28" s="2096">
        <f t="shared" si="43"/>
        <v>0</v>
      </c>
      <c r="K28" s="2096">
        <f t="shared" si="44"/>
        <v>0</v>
      </c>
      <c r="L28" s="2096">
        <f t="shared" si="44"/>
        <v>0</v>
      </c>
      <c r="M28" s="2096">
        <f t="shared" si="44"/>
        <v>0</v>
      </c>
      <c r="N28" s="2096">
        <f t="shared" si="44"/>
        <v>0</v>
      </c>
      <c r="O28" s="2096">
        <f t="shared" si="44"/>
        <v>0</v>
      </c>
      <c r="P28" s="2114">
        <f t="shared" si="4"/>
        <v>0</v>
      </c>
      <c r="Q28" s="2112">
        <f t="shared" si="45"/>
        <v>0</v>
      </c>
      <c r="R28" s="2097">
        <f t="shared" ca="1" si="46"/>
        <v>0</v>
      </c>
      <c r="S28" s="2097">
        <f t="shared" ca="1" si="46"/>
        <v>0</v>
      </c>
      <c r="T28" s="2097">
        <f t="shared" ca="1" si="46"/>
        <v>0</v>
      </c>
      <c r="U28" s="2097">
        <f t="shared" si="47"/>
        <v>0</v>
      </c>
      <c r="V28" s="2097">
        <f t="shared" si="47"/>
        <v>0</v>
      </c>
      <c r="W28" s="2097">
        <f t="shared" ca="1" si="48"/>
        <v>0</v>
      </c>
      <c r="X28" s="2097">
        <f t="shared" si="49"/>
        <v>0</v>
      </c>
      <c r="Y28" s="2097">
        <f t="shared" si="49"/>
        <v>0</v>
      </c>
      <c r="Z28" s="2097">
        <f t="shared" si="49"/>
        <v>0</v>
      </c>
      <c r="AA28" s="2097">
        <f t="shared" si="49"/>
        <v>0</v>
      </c>
      <c r="AB28" s="2097">
        <f t="shared" si="49"/>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40"/>
        <v>0</v>
      </c>
      <c r="E29" s="2096">
        <f t="shared" si="41"/>
        <v>0</v>
      </c>
      <c r="F29" s="2096">
        <f t="shared" si="41"/>
        <v>0</v>
      </c>
      <c r="G29" s="2096">
        <f t="shared" si="41"/>
        <v>0</v>
      </c>
      <c r="H29" s="2096">
        <f t="shared" si="42"/>
        <v>0</v>
      </c>
      <c r="I29" s="2096">
        <f t="shared" si="42"/>
        <v>0</v>
      </c>
      <c r="J29" s="2096">
        <f t="shared" si="43"/>
        <v>0</v>
      </c>
      <c r="K29" s="2096">
        <f t="shared" si="44"/>
        <v>0</v>
      </c>
      <c r="L29" s="2096">
        <f t="shared" si="44"/>
        <v>0</v>
      </c>
      <c r="M29" s="2096">
        <f t="shared" si="44"/>
        <v>0</v>
      </c>
      <c r="N29" s="2096">
        <f t="shared" si="44"/>
        <v>0</v>
      </c>
      <c r="O29" s="2096">
        <f t="shared" si="44"/>
        <v>0</v>
      </c>
      <c r="P29" s="2114">
        <f t="shared" si="4"/>
        <v>0</v>
      </c>
      <c r="Q29" s="2112">
        <f t="shared" si="45"/>
        <v>0</v>
      </c>
      <c r="R29" s="2097">
        <f t="shared" ca="1" si="46"/>
        <v>0</v>
      </c>
      <c r="S29" s="2097">
        <f t="shared" ca="1" si="46"/>
        <v>0</v>
      </c>
      <c r="T29" s="2097">
        <f t="shared" ca="1" si="46"/>
        <v>0</v>
      </c>
      <c r="U29" s="2097">
        <f t="shared" si="47"/>
        <v>0</v>
      </c>
      <c r="V29" s="2097">
        <f t="shared" si="47"/>
        <v>0</v>
      </c>
      <c r="W29" s="2097">
        <f t="shared" ca="1" si="48"/>
        <v>0</v>
      </c>
      <c r="X29" s="2097">
        <f t="shared" si="49"/>
        <v>0</v>
      </c>
      <c r="Y29" s="2097">
        <f t="shared" si="49"/>
        <v>0</v>
      </c>
      <c r="Z29" s="2097">
        <f t="shared" si="49"/>
        <v>0</v>
      </c>
      <c r="AA29" s="2097">
        <f t="shared" si="49"/>
        <v>0</v>
      </c>
      <c r="AB29" s="2097">
        <f t="shared" si="49"/>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40"/>
        <v>0</v>
      </c>
      <c r="E30" s="2096">
        <f t="shared" si="41"/>
        <v>0</v>
      </c>
      <c r="F30" s="2096">
        <f t="shared" si="41"/>
        <v>0</v>
      </c>
      <c r="G30" s="2096">
        <f t="shared" si="41"/>
        <v>0</v>
      </c>
      <c r="H30" s="2096">
        <f t="shared" si="42"/>
        <v>0</v>
      </c>
      <c r="I30" s="2096">
        <f t="shared" si="42"/>
        <v>0</v>
      </c>
      <c r="J30" s="2096">
        <f t="shared" si="43"/>
        <v>0</v>
      </c>
      <c r="K30" s="2096">
        <f t="shared" si="44"/>
        <v>0</v>
      </c>
      <c r="L30" s="2096">
        <f t="shared" si="44"/>
        <v>0</v>
      </c>
      <c r="M30" s="2096">
        <f t="shared" si="44"/>
        <v>0</v>
      </c>
      <c r="N30" s="2096">
        <f t="shared" si="44"/>
        <v>0</v>
      </c>
      <c r="O30" s="2096">
        <f t="shared" si="44"/>
        <v>0</v>
      </c>
      <c r="P30" s="2114">
        <f t="shared" si="4"/>
        <v>0</v>
      </c>
      <c r="Q30" s="2112">
        <f t="shared" si="45"/>
        <v>0</v>
      </c>
      <c r="R30" s="2097">
        <f t="shared" ca="1" si="46"/>
        <v>0</v>
      </c>
      <c r="S30" s="2097">
        <f t="shared" ca="1" si="46"/>
        <v>0</v>
      </c>
      <c r="T30" s="2097">
        <f t="shared" ca="1" si="46"/>
        <v>0</v>
      </c>
      <c r="U30" s="2097">
        <f t="shared" si="47"/>
        <v>0</v>
      </c>
      <c r="V30" s="2097">
        <f t="shared" si="47"/>
        <v>0</v>
      </c>
      <c r="W30" s="2097">
        <f t="shared" ca="1" si="48"/>
        <v>0</v>
      </c>
      <c r="X30" s="2097">
        <f t="shared" si="49"/>
        <v>0</v>
      </c>
      <c r="Y30" s="2097">
        <f t="shared" si="49"/>
        <v>0</v>
      </c>
      <c r="Z30" s="2097">
        <f t="shared" si="49"/>
        <v>0</v>
      </c>
      <c r="AA30" s="2097">
        <f t="shared" si="49"/>
        <v>0</v>
      </c>
      <c r="AB30" s="2097">
        <f t="shared" si="49"/>
        <v>0</v>
      </c>
      <c r="AC30" s="2098">
        <f t="shared" ca="1" si="8"/>
        <v>0</v>
      </c>
      <c r="AD30" s="1803"/>
      <c r="AE30" s="1803"/>
      <c r="AF30" s="1803"/>
      <c r="AG30" s="1803"/>
    </row>
    <row r="31" spans="1:33" ht="21.95" customHeight="1">
      <c r="A31" s="2836"/>
      <c r="B31" s="2837" t="s">
        <v>2641</v>
      </c>
      <c r="C31" s="2106" t="str">
        <f>VLOOKUP(VALUE($P$2&amp;$B31),Sheet_Items,7,0)</f>
        <v>其他</v>
      </c>
      <c r="D31" s="2096">
        <f t="shared" si="40"/>
        <v>0</v>
      </c>
      <c r="E31" s="2096">
        <f t="shared" si="41"/>
        <v>0</v>
      </c>
      <c r="F31" s="2096">
        <f t="shared" si="41"/>
        <v>0</v>
      </c>
      <c r="G31" s="2096">
        <f t="shared" si="41"/>
        <v>0</v>
      </c>
      <c r="H31" s="2096">
        <f t="shared" si="42"/>
        <v>0</v>
      </c>
      <c r="I31" s="2096">
        <f t="shared" si="42"/>
        <v>0</v>
      </c>
      <c r="J31" s="2096">
        <f t="shared" si="43"/>
        <v>0</v>
      </c>
      <c r="K31" s="2096">
        <f t="shared" si="44"/>
        <v>0</v>
      </c>
      <c r="L31" s="2096">
        <f t="shared" si="44"/>
        <v>0</v>
      </c>
      <c r="M31" s="2096">
        <f t="shared" si="44"/>
        <v>0</v>
      </c>
      <c r="N31" s="2096">
        <f t="shared" si="44"/>
        <v>0</v>
      </c>
      <c r="O31" s="2096">
        <f t="shared" si="44"/>
        <v>0</v>
      </c>
      <c r="P31" s="2114">
        <f t="shared" si="4"/>
        <v>0</v>
      </c>
      <c r="Q31" s="2112">
        <f t="shared" si="45"/>
        <v>0</v>
      </c>
      <c r="R31" s="2097">
        <f t="shared" ca="1" si="46"/>
        <v>0</v>
      </c>
      <c r="S31" s="2097">
        <f t="shared" ca="1" si="46"/>
        <v>0</v>
      </c>
      <c r="T31" s="2097">
        <f t="shared" ca="1" si="46"/>
        <v>0</v>
      </c>
      <c r="U31" s="2097">
        <f t="shared" si="47"/>
        <v>0</v>
      </c>
      <c r="V31" s="2097">
        <f t="shared" si="47"/>
        <v>0</v>
      </c>
      <c r="W31" s="2097">
        <f t="shared" ca="1" si="48"/>
        <v>0</v>
      </c>
      <c r="X31" s="2097">
        <f t="shared" si="49"/>
        <v>0</v>
      </c>
      <c r="Y31" s="2097">
        <f t="shared" si="49"/>
        <v>0</v>
      </c>
      <c r="Z31" s="2097">
        <f t="shared" si="49"/>
        <v>0</v>
      </c>
      <c r="AA31" s="2097">
        <f t="shared" si="49"/>
        <v>0</v>
      </c>
      <c r="AB31" s="2097">
        <f t="shared" si="49"/>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50">SUM(D33:D34)</f>
        <v>0</v>
      </c>
      <c r="E32" s="2096">
        <f t="shared" si="50"/>
        <v>0</v>
      </c>
      <c r="F32" s="2096">
        <f t="shared" si="50"/>
        <v>0</v>
      </c>
      <c r="G32" s="2096">
        <f t="shared" si="50"/>
        <v>0</v>
      </c>
      <c r="H32" s="2096">
        <f t="shared" si="50"/>
        <v>0</v>
      </c>
      <c r="I32" s="2096">
        <f t="shared" si="50"/>
        <v>0</v>
      </c>
      <c r="J32" s="2096">
        <f t="shared" si="50"/>
        <v>0</v>
      </c>
      <c r="K32" s="2096">
        <f t="shared" si="50"/>
        <v>0</v>
      </c>
      <c r="L32" s="2096">
        <f t="shared" si="50"/>
        <v>0</v>
      </c>
      <c r="M32" s="2096">
        <f t="shared" ref="M32" si="51">SUM(M33:M34)</f>
        <v>0</v>
      </c>
      <c r="N32" s="2096">
        <f t="shared" si="50"/>
        <v>0</v>
      </c>
      <c r="O32" s="2096">
        <f t="shared" si="50"/>
        <v>0</v>
      </c>
      <c r="P32" s="2114">
        <f t="shared" si="4"/>
        <v>0</v>
      </c>
      <c r="Q32" s="2112">
        <f t="shared" ref="Q32:AB32" si="52">SUM(Q33:Q34)</f>
        <v>0</v>
      </c>
      <c r="R32" s="2097">
        <f t="shared" ca="1" si="52"/>
        <v>0</v>
      </c>
      <c r="S32" s="2097">
        <f t="shared" ca="1" si="52"/>
        <v>0</v>
      </c>
      <c r="T32" s="2097">
        <f t="shared" ca="1" si="52"/>
        <v>0</v>
      </c>
      <c r="U32" s="2097">
        <f t="shared" si="52"/>
        <v>0</v>
      </c>
      <c r="V32" s="2097">
        <f t="shared" si="52"/>
        <v>0</v>
      </c>
      <c r="W32" s="2097">
        <f t="shared" ca="1" si="52"/>
        <v>0</v>
      </c>
      <c r="X32" s="2097">
        <f t="shared" si="52"/>
        <v>0</v>
      </c>
      <c r="Y32" s="2097">
        <f t="shared" si="52"/>
        <v>0</v>
      </c>
      <c r="Z32" s="2097">
        <f t="shared" ref="Z32" si="53">SUM(Z33:Z34)</f>
        <v>0</v>
      </c>
      <c r="AA32" s="2097">
        <f t="shared" si="52"/>
        <v>0</v>
      </c>
      <c r="AB32" s="2097">
        <f t="shared" si="52"/>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4">IF(ISERROR(VLOOKUP(E$2&amp;$B33,Sheet_Trialbal,6,0)),0,VLOOKUP(E$2&amp;$B33,Sheet_Trialbal,6,0))</f>
        <v>0</v>
      </c>
      <c r="F33" s="2096">
        <f t="shared" si="54"/>
        <v>0</v>
      </c>
      <c r="G33" s="2096">
        <f t="shared" si="54"/>
        <v>0</v>
      </c>
      <c r="H33" s="2096">
        <f t="shared" ref="H33:I35" si="55">IF(ISERROR(VLOOKUP(VALUE(H$2&amp;$B33),Sheet_Trialbal,6,0)),0,VLOOKUP(VALUE(H$2&amp;$B33),Sheet_Trialbal,6,0))</f>
        <v>0</v>
      </c>
      <c r="I33" s="2096">
        <f t="shared" si="55"/>
        <v>0</v>
      </c>
      <c r="J33" s="2096">
        <f>IF(ISERROR(VLOOKUP(J$2&amp;$B33,Sheet_Trialbal,6,0)),0,VLOOKUP(J$2&amp;$B33,Sheet_Trialbal,6,0))</f>
        <v>0</v>
      </c>
      <c r="K33" s="2096">
        <f t="shared" ref="K33:O35" si="56">IF(ISERROR(VLOOKUP(VALUE(K$2&amp;$B33),Sheet_Trialbal,6,0)),0,VLOOKUP(VALUE(K$2&amp;$B33),Sheet_Trialbal,6,0))</f>
        <v>0</v>
      </c>
      <c r="L33" s="2096">
        <f t="shared" si="56"/>
        <v>0</v>
      </c>
      <c r="M33" s="2096">
        <f t="shared" si="56"/>
        <v>0</v>
      </c>
      <c r="N33" s="2096">
        <f t="shared" si="56"/>
        <v>0</v>
      </c>
      <c r="O33" s="2096">
        <f t="shared" si="56"/>
        <v>0</v>
      </c>
      <c r="P33" s="2114">
        <f t="shared" si="4"/>
        <v>0</v>
      </c>
      <c r="Q33" s="2112">
        <f>IF(ISERROR(VLOOKUP(VALUE(Q$2&amp;$B33),Sheet_Trialbal,10,0)),0,VLOOKUP(VALUE(Q$2&amp;$B33),Sheet_Trialbal,10,0))</f>
        <v>0</v>
      </c>
      <c r="R33" s="2097">
        <f t="shared" ref="R33:T35" ca="1" si="57">IF(ISERROR(VLOOKUP(R$2&amp;$B33,Sheet_Trialbal,10,0)),0,VLOOKUP(R$2&amp;$B33,Sheet_Trialbal,10,0))</f>
        <v>0</v>
      </c>
      <c r="S33" s="2097">
        <f t="shared" ca="1" si="57"/>
        <v>0</v>
      </c>
      <c r="T33" s="2097">
        <f t="shared" ca="1" si="57"/>
        <v>0</v>
      </c>
      <c r="U33" s="2097">
        <f t="shared" ref="U33:V35" si="58">IF(ISERROR(VLOOKUP(VALUE(U$2&amp;$B33),Sheet_Trialbal,10,0)),0,VLOOKUP(VALUE(U$2&amp;$B33),Sheet_Trialbal,10,0))</f>
        <v>0</v>
      </c>
      <c r="V33" s="2097">
        <f t="shared" si="58"/>
        <v>0</v>
      </c>
      <c r="W33" s="2097">
        <f ca="1">IF(ISERROR(VLOOKUP(W$2&amp;$B33,Sheet_Trialbal,10,0)),0,VLOOKUP(W$2&amp;$B33,Sheet_Trialbal,10,0))</f>
        <v>0</v>
      </c>
      <c r="X33" s="2097">
        <f t="shared" ref="X33:AB35" si="59">IF(ISERROR(VLOOKUP(VALUE(X$2&amp;$B33),Sheet_Trialbal,10,0)),0,VLOOKUP(VALUE(X$2&amp;$B33),Sheet_Trialbal,10,0))</f>
        <v>0</v>
      </c>
      <c r="Y33" s="2097">
        <f t="shared" si="59"/>
        <v>0</v>
      </c>
      <c r="Z33" s="2097">
        <f t="shared" si="59"/>
        <v>0</v>
      </c>
      <c r="AA33" s="2097">
        <f t="shared" si="59"/>
        <v>0</v>
      </c>
      <c r="AB33" s="2097">
        <f t="shared" si="59"/>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4"/>
        <v>0</v>
      </c>
      <c r="F34" s="2096">
        <f t="shared" si="54"/>
        <v>0</v>
      </c>
      <c r="G34" s="2096">
        <f t="shared" si="54"/>
        <v>0</v>
      </c>
      <c r="H34" s="2096">
        <f t="shared" si="55"/>
        <v>0</v>
      </c>
      <c r="I34" s="2096">
        <f t="shared" si="55"/>
        <v>0</v>
      </c>
      <c r="J34" s="2096">
        <f>IF(ISERROR(VLOOKUP(J$2&amp;$B34,Sheet_Trialbal,6,0)),0,VLOOKUP(J$2&amp;$B34,Sheet_Trialbal,6,0))</f>
        <v>0</v>
      </c>
      <c r="K34" s="2096">
        <f t="shared" si="56"/>
        <v>0</v>
      </c>
      <c r="L34" s="2096">
        <f t="shared" si="56"/>
        <v>0</v>
      </c>
      <c r="M34" s="2096">
        <f t="shared" si="56"/>
        <v>0</v>
      </c>
      <c r="N34" s="2096">
        <f t="shared" si="56"/>
        <v>0</v>
      </c>
      <c r="O34" s="2096">
        <f t="shared" si="56"/>
        <v>0</v>
      </c>
      <c r="P34" s="2114">
        <f t="shared" si="4"/>
        <v>0</v>
      </c>
      <c r="Q34" s="2112">
        <f>IF(ISERROR(VLOOKUP(VALUE(Q$2&amp;$B34),Sheet_Trialbal,10,0)),0,VLOOKUP(VALUE(Q$2&amp;$B34),Sheet_Trialbal,10,0))</f>
        <v>0</v>
      </c>
      <c r="R34" s="2097">
        <f t="shared" ca="1" si="57"/>
        <v>0</v>
      </c>
      <c r="S34" s="2097">
        <f t="shared" ca="1" si="57"/>
        <v>0</v>
      </c>
      <c r="T34" s="2097">
        <f t="shared" ca="1" si="57"/>
        <v>0</v>
      </c>
      <c r="U34" s="2097">
        <f t="shared" si="58"/>
        <v>0</v>
      </c>
      <c r="V34" s="2097">
        <f t="shared" si="58"/>
        <v>0</v>
      </c>
      <c r="W34" s="2097">
        <f ca="1">IF(ISERROR(VLOOKUP(W$2&amp;$B34,Sheet_Trialbal,10,0)),0,VLOOKUP(W$2&amp;$B34,Sheet_Trialbal,10,0))</f>
        <v>0</v>
      </c>
      <c r="X34" s="2097">
        <f t="shared" si="59"/>
        <v>0</v>
      </c>
      <c r="Y34" s="2097">
        <f t="shared" si="59"/>
        <v>0</v>
      </c>
      <c r="Z34" s="2097">
        <f t="shared" si="59"/>
        <v>0</v>
      </c>
      <c r="AA34" s="2097">
        <f t="shared" si="59"/>
        <v>0</v>
      </c>
      <c r="AB34" s="2097">
        <f t="shared" si="59"/>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4"/>
        <v>0</v>
      </c>
      <c r="F35" s="2096">
        <f t="shared" si="54"/>
        <v>0</v>
      </c>
      <c r="G35" s="2096">
        <f t="shared" si="54"/>
        <v>0</v>
      </c>
      <c r="H35" s="2096">
        <f t="shared" si="55"/>
        <v>0</v>
      </c>
      <c r="I35" s="2096">
        <f t="shared" si="55"/>
        <v>0</v>
      </c>
      <c r="J35" s="2096">
        <f>IF(ISERROR(VLOOKUP(J$2&amp;$B35,Sheet_Trialbal,6,0)),0,VLOOKUP(J$2&amp;$B35,Sheet_Trialbal,6,0))</f>
        <v>0</v>
      </c>
      <c r="K35" s="2096">
        <f t="shared" si="56"/>
        <v>0</v>
      </c>
      <c r="L35" s="2096">
        <f t="shared" si="56"/>
        <v>0</v>
      </c>
      <c r="M35" s="2096">
        <f t="shared" si="56"/>
        <v>0</v>
      </c>
      <c r="N35" s="2096">
        <f t="shared" si="56"/>
        <v>0</v>
      </c>
      <c r="O35" s="2096">
        <f t="shared" si="56"/>
        <v>0</v>
      </c>
      <c r="P35" s="2114">
        <f t="shared" si="4"/>
        <v>0</v>
      </c>
      <c r="Q35" s="2112">
        <f>IF(ISERROR(VLOOKUP(VALUE(Q$2&amp;$B35),Sheet_Trialbal,10,0)),0,VLOOKUP(VALUE(Q$2&amp;$B35),Sheet_Trialbal,10,0))</f>
        <v>0</v>
      </c>
      <c r="R35" s="2097">
        <f t="shared" ca="1" si="57"/>
        <v>0</v>
      </c>
      <c r="S35" s="2097">
        <f t="shared" ca="1" si="57"/>
        <v>0</v>
      </c>
      <c r="T35" s="2097">
        <f t="shared" ca="1" si="57"/>
        <v>0</v>
      </c>
      <c r="U35" s="2097">
        <f t="shared" si="58"/>
        <v>0</v>
      </c>
      <c r="V35" s="2097">
        <f t="shared" si="58"/>
        <v>0</v>
      </c>
      <c r="W35" s="2097">
        <f ca="1">IF(ISERROR(VLOOKUP(W$2&amp;$B35,Sheet_Trialbal,10,0)),0,VLOOKUP(W$2&amp;$B35,Sheet_Trialbal,10,0))</f>
        <v>0</v>
      </c>
      <c r="X35" s="2097">
        <f t="shared" si="59"/>
        <v>0</v>
      </c>
      <c r="Y35" s="2097">
        <f t="shared" si="59"/>
        <v>0</v>
      </c>
      <c r="Z35" s="2097">
        <f t="shared" si="59"/>
        <v>0</v>
      </c>
      <c r="AA35" s="2097">
        <f t="shared" si="59"/>
        <v>0</v>
      </c>
      <c r="AB35" s="2097">
        <f t="shared" si="59"/>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60">SUM(D13,D14)</f>
        <v>0</v>
      </c>
      <c r="E36" s="2108">
        <f t="shared" si="60"/>
        <v>0</v>
      </c>
      <c r="F36" s="2108">
        <f t="shared" si="60"/>
        <v>0</v>
      </c>
      <c r="G36" s="2108">
        <f t="shared" si="60"/>
        <v>0</v>
      </c>
      <c r="H36" s="2108">
        <f t="shared" si="60"/>
        <v>0</v>
      </c>
      <c r="I36" s="2108">
        <f t="shared" si="60"/>
        <v>0</v>
      </c>
      <c r="J36" s="2108">
        <f t="shared" si="60"/>
        <v>0</v>
      </c>
      <c r="K36" s="2108">
        <f t="shared" si="60"/>
        <v>0</v>
      </c>
      <c r="L36" s="2108">
        <f t="shared" si="60"/>
        <v>0</v>
      </c>
      <c r="M36" s="2108">
        <f t="shared" ref="M36" si="61">SUM(M13,M14)</f>
        <v>0</v>
      </c>
      <c r="N36" s="2108">
        <f t="shared" si="60"/>
        <v>1747379.72</v>
      </c>
      <c r="O36" s="2108">
        <f t="shared" si="60"/>
        <v>0</v>
      </c>
      <c r="P36" s="2115">
        <f t="shared" si="60"/>
        <v>1747379.72</v>
      </c>
      <c r="Q36" s="2113">
        <f t="shared" si="60"/>
        <v>1000000</v>
      </c>
      <c r="R36" s="2109">
        <f t="shared" ca="1" si="60"/>
        <v>0</v>
      </c>
      <c r="S36" s="2109">
        <f t="shared" ca="1" si="60"/>
        <v>0</v>
      </c>
      <c r="T36" s="2109">
        <f t="shared" ca="1" si="60"/>
        <v>0</v>
      </c>
      <c r="U36" s="2109">
        <f t="shared" si="60"/>
        <v>0</v>
      </c>
      <c r="V36" s="2109">
        <f t="shared" si="60"/>
        <v>0</v>
      </c>
      <c r="W36" s="2109">
        <f t="shared" ca="1" si="60"/>
        <v>0</v>
      </c>
      <c r="X36" s="2109">
        <f t="shared" si="60"/>
        <v>0</v>
      </c>
      <c r="Y36" s="2109">
        <f t="shared" si="60"/>
        <v>0</v>
      </c>
      <c r="Z36" s="2109">
        <f t="shared" ref="Z36" si="62">SUM(Z13,Z14)</f>
        <v>0</v>
      </c>
      <c r="AA36" s="2109">
        <f t="shared" si="60"/>
        <v>-2433969.27</v>
      </c>
      <c r="AB36" s="2109">
        <f t="shared" si="60"/>
        <v>0</v>
      </c>
      <c r="AC36" s="2110">
        <f t="shared" ca="1" si="60"/>
        <v>-1433969.27</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1433969.27</v>
      </c>
      <c r="D43" s="1976"/>
      <c r="E43" s="1976"/>
      <c r="F43" s="1976"/>
      <c r="G43" s="1976"/>
      <c r="H43" s="1976"/>
      <c r="I43" s="1976"/>
      <c r="J43" s="1976"/>
      <c r="K43" s="1976"/>
      <c r="L43" s="1980" t="str">
        <f>$C$13&amp;":"&amp;$D$6</f>
        <v>二、本年年初余额:2019年度</v>
      </c>
      <c r="M43" s="1980"/>
      <c r="N43" s="1978"/>
      <c r="O43" s="1978"/>
      <c r="P43" s="1893"/>
      <c r="Q43" s="1898">
        <f t="shared" ref="Q43:Z43" si="63">D13</f>
        <v>0</v>
      </c>
      <c r="R43" s="1898">
        <f t="shared" si="63"/>
        <v>0</v>
      </c>
      <c r="S43" s="1898">
        <f t="shared" si="63"/>
        <v>0</v>
      </c>
      <c r="T43" s="1898">
        <f t="shared" si="63"/>
        <v>0</v>
      </c>
      <c r="U43" s="1898">
        <f t="shared" si="63"/>
        <v>0</v>
      </c>
      <c r="V43" s="1898">
        <f t="shared" si="63"/>
        <v>0</v>
      </c>
      <c r="W43" s="1898">
        <f t="shared" si="63"/>
        <v>0</v>
      </c>
      <c r="X43" s="1898">
        <f t="shared" si="63"/>
        <v>0</v>
      </c>
      <c r="Y43" s="1898">
        <f t="shared" si="63"/>
        <v>0</v>
      </c>
      <c r="Z43" s="1898">
        <f t="shared" si="63"/>
        <v>0</v>
      </c>
      <c r="AA43" s="1898">
        <f t="shared" ref="AA43:AC43" si="64">N13</f>
        <v>0</v>
      </c>
      <c r="AB43" s="1898">
        <f t="shared" si="64"/>
        <v>0</v>
      </c>
      <c r="AC43" s="1867">
        <f t="shared" si="64"/>
        <v>0</v>
      </c>
      <c r="AD43" s="1973"/>
      <c r="AE43" s="1973"/>
      <c r="AF43" s="1973"/>
      <c r="AG43" s="1973"/>
    </row>
    <row r="44" spans="1:33" s="1974" customFormat="1" ht="18">
      <c r="A44" s="2879" t="s">
        <v>2565</v>
      </c>
      <c r="B44" s="2880"/>
      <c r="C44" s="1981" t="str">
        <f ca="1">IF(C43=0,"Balanced","Diff "&amp;TEXT(ROUND(C43,2),"#,###.00"))</f>
        <v>Diff 1,433,969.27</v>
      </c>
      <c r="D44" s="1976"/>
      <c r="E44" s="1976"/>
      <c r="F44" s="1976"/>
      <c r="G44" s="1976"/>
      <c r="H44" s="1976"/>
      <c r="I44" s="1976"/>
      <c r="J44" s="1976"/>
      <c r="K44" s="1976"/>
      <c r="L44" s="1980" t="str">
        <f>$Q$6&amp;":"&amp;$C$36</f>
        <v>2018年度:四、本年年末余额</v>
      </c>
      <c r="M44" s="1980"/>
      <c r="N44" s="1978"/>
      <c r="O44" s="1978"/>
      <c r="P44" s="1893"/>
      <c r="Q44" s="1982">
        <f t="shared" ref="Q44:AC44" si="65">Q36</f>
        <v>1000000</v>
      </c>
      <c r="R44" s="1982">
        <f t="shared" ca="1" si="65"/>
        <v>0</v>
      </c>
      <c r="S44" s="1982">
        <f t="shared" ca="1" si="65"/>
        <v>0</v>
      </c>
      <c r="T44" s="1982">
        <f t="shared" ca="1" si="65"/>
        <v>0</v>
      </c>
      <c r="U44" s="1983">
        <f t="shared" si="65"/>
        <v>0</v>
      </c>
      <c r="V44" s="1983">
        <f t="shared" si="65"/>
        <v>0</v>
      </c>
      <c r="W44" s="1983">
        <f t="shared" ca="1" si="65"/>
        <v>0</v>
      </c>
      <c r="X44" s="1983">
        <f t="shared" si="65"/>
        <v>0</v>
      </c>
      <c r="Y44" s="1983">
        <f t="shared" si="65"/>
        <v>0</v>
      </c>
      <c r="Z44" s="1983">
        <f t="shared" si="65"/>
        <v>0</v>
      </c>
      <c r="AA44" s="1983">
        <f t="shared" si="65"/>
        <v>-2433969.27</v>
      </c>
      <c r="AB44" s="1983">
        <f t="shared" si="65"/>
        <v>0</v>
      </c>
      <c r="AC44" s="1899">
        <f t="shared" ca="1" si="65"/>
        <v>-1433969.27</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6">ROUND(Q43-Q44,2)</f>
        <v>-1000000</v>
      </c>
      <c r="R45" s="1902">
        <f t="shared" ca="1" si="66"/>
        <v>0</v>
      </c>
      <c r="S45" s="1902">
        <f t="shared" ca="1" si="66"/>
        <v>0</v>
      </c>
      <c r="T45" s="1902">
        <f t="shared" ca="1" si="66"/>
        <v>0</v>
      </c>
      <c r="U45" s="1986">
        <f t="shared" si="66"/>
        <v>0</v>
      </c>
      <c r="V45" s="1986">
        <f t="shared" si="66"/>
        <v>0</v>
      </c>
      <c r="W45" s="1986">
        <f t="shared" ca="1" si="66"/>
        <v>0</v>
      </c>
      <c r="X45" s="1986">
        <f t="shared" si="66"/>
        <v>0</v>
      </c>
      <c r="Y45" s="1986">
        <f t="shared" si="66"/>
        <v>0</v>
      </c>
      <c r="Z45" s="1986">
        <f t="shared" ref="Z45" si="67">ROUND(Z43-Z44,2)</f>
        <v>0</v>
      </c>
      <c r="AA45" s="1986">
        <f t="shared" si="66"/>
        <v>2433969.27</v>
      </c>
      <c r="AB45" s="1986">
        <f t="shared" si="66"/>
        <v>0</v>
      </c>
      <c r="AC45" s="1903">
        <f t="shared" ca="1" si="66"/>
        <v>1433969.27</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8">IF(Q45=0,"√","×")</f>
        <v>×</v>
      </c>
      <c r="R46" s="1905" t="str">
        <f t="shared" ca="1" si="68"/>
        <v>√</v>
      </c>
      <c r="S46" s="1905" t="str">
        <f t="shared" ca="1" si="68"/>
        <v>√</v>
      </c>
      <c r="T46" s="1905" t="str">
        <f t="shared" ca="1" si="68"/>
        <v>√</v>
      </c>
      <c r="U46" s="1987" t="str">
        <f t="shared" si="68"/>
        <v>√</v>
      </c>
      <c r="V46" s="1987" t="str">
        <f t="shared" si="68"/>
        <v>√</v>
      </c>
      <c r="W46" s="1987" t="str">
        <f t="shared" ca="1" si="68"/>
        <v>√</v>
      </c>
      <c r="X46" s="1987" t="str">
        <f t="shared" si="68"/>
        <v>√</v>
      </c>
      <c r="Y46" s="1987" t="str">
        <f t="shared" si="68"/>
        <v>√</v>
      </c>
      <c r="Z46" s="1987" t="str">
        <f t="shared" ref="Z46" si="69">IF(Z45=0,"√","×")</f>
        <v>√</v>
      </c>
      <c r="AA46" s="1987" t="str">
        <f t="shared" si="68"/>
        <v>×</v>
      </c>
      <c r="AB46" s="1987" t="str">
        <f t="shared" si="68"/>
        <v>√</v>
      </c>
      <c r="AC46" s="1906" t="str">
        <f t="shared" ca="1" si="68"/>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70">D36</f>
        <v>0</v>
      </c>
      <c r="E50" s="1873">
        <f t="shared" si="70"/>
        <v>0</v>
      </c>
      <c r="F50" s="1873">
        <f t="shared" si="70"/>
        <v>0</v>
      </c>
      <c r="G50" s="1873">
        <f t="shared" si="70"/>
        <v>0</v>
      </c>
      <c r="H50" s="1873">
        <f t="shared" si="70"/>
        <v>0</v>
      </c>
      <c r="I50" s="1873">
        <f t="shared" si="70"/>
        <v>0</v>
      </c>
      <c r="J50" s="1873">
        <f t="shared" si="70"/>
        <v>0</v>
      </c>
      <c r="K50" s="1873">
        <f t="shared" si="70"/>
        <v>0</v>
      </c>
      <c r="L50" s="1873">
        <f t="shared" si="70"/>
        <v>0</v>
      </c>
      <c r="M50" s="1873">
        <f t="shared" si="70"/>
        <v>0</v>
      </c>
      <c r="N50" s="1873">
        <f t="shared" si="70"/>
        <v>1747379.72</v>
      </c>
      <c r="O50" s="1873">
        <f t="shared" si="70"/>
        <v>0</v>
      </c>
      <c r="P50" s="2003">
        <f t="shared" si="70"/>
        <v>1747379.72</v>
      </c>
      <c r="Q50" s="1982">
        <f t="shared" si="70"/>
        <v>1000000</v>
      </c>
      <c r="R50" s="1982">
        <f t="shared" ca="1" si="70"/>
        <v>0</v>
      </c>
      <c r="S50" s="1982">
        <f t="shared" ca="1" si="70"/>
        <v>0</v>
      </c>
      <c r="T50" s="1982">
        <f t="shared" ca="1" si="70"/>
        <v>0</v>
      </c>
      <c r="U50" s="1983">
        <f t="shared" si="70"/>
        <v>0</v>
      </c>
      <c r="V50" s="1983">
        <f t="shared" si="70"/>
        <v>0</v>
      </c>
      <c r="W50" s="1983">
        <f t="shared" ca="1" si="70"/>
        <v>0</v>
      </c>
      <c r="X50" s="1983">
        <f t="shared" si="70"/>
        <v>0</v>
      </c>
      <c r="Y50" s="1983">
        <f t="shared" si="70"/>
        <v>0</v>
      </c>
      <c r="Z50" s="1983">
        <f t="shared" si="70"/>
        <v>0</v>
      </c>
      <c r="AA50" s="1983">
        <f t="shared" si="70"/>
        <v>-2433969.27</v>
      </c>
      <c r="AB50" s="1983">
        <f t="shared" si="70"/>
        <v>0</v>
      </c>
      <c r="AC50" s="1899">
        <f t="shared" ca="1" si="70"/>
        <v>-1433969.27</v>
      </c>
      <c r="AD50" s="1973"/>
      <c r="AE50" s="1973"/>
      <c r="AF50" s="1973"/>
      <c r="AG50" s="1973"/>
    </row>
    <row r="51" spans="1:33" s="1974" customFormat="1" ht="18">
      <c r="A51" s="2879" t="s">
        <v>2565</v>
      </c>
      <c r="B51" s="2880"/>
      <c r="C51" s="2004" t="s">
        <v>5845</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1747379.72</v>
      </c>
      <c r="O51" s="1873"/>
      <c r="P51" s="2003">
        <f>BS!K49</f>
        <v>1747379.72</v>
      </c>
      <c r="Q51" s="1982">
        <f>BS!L38</f>
        <v>1000000</v>
      </c>
      <c r="R51" s="1982">
        <f>BS!L40</f>
        <v>0</v>
      </c>
      <c r="S51" s="1982">
        <f>BS!L41</f>
        <v>0</v>
      </c>
      <c r="T51" s="1982">
        <f>BS!L39-BS!L40-BS!L41</f>
        <v>0</v>
      </c>
      <c r="U51" s="1983">
        <f>BS!L42</f>
        <v>0</v>
      </c>
      <c r="V51" s="1983">
        <f>BS!L43</f>
        <v>0</v>
      </c>
      <c r="W51" s="1983">
        <f>BS!L44</f>
        <v>0</v>
      </c>
      <c r="X51" s="1983">
        <f>BS!L45</f>
        <v>0</v>
      </c>
      <c r="Y51" s="1983">
        <f>BS!L46</f>
        <v>0</v>
      </c>
      <c r="Z51" s="1983">
        <f>BS!L47</f>
        <v>0</v>
      </c>
      <c r="AA51" s="1983">
        <f>BS!L48</f>
        <v>-2433969.27</v>
      </c>
      <c r="AB51" s="1983"/>
      <c r="AC51" s="1899">
        <f>BS!L49</f>
        <v>-1433969.27</v>
      </c>
      <c r="AD51" s="1973"/>
      <c r="AE51" s="1973"/>
      <c r="AF51" s="1973"/>
      <c r="AG51" s="1973"/>
    </row>
    <row r="52" spans="1:33" s="1974" customFormat="1" ht="18.75" thickBot="1">
      <c r="A52" s="2879" t="s">
        <v>2565</v>
      </c>
      <c r="B52" s="2880"/>
      <c r="C52" s="2005" t="s">
        <v>2580</v>
      </c>
      <c r="D52" s="1986">
        <f t="shared" ref="D52:AC52" si="71">ROUND(D50-D51,2)</f>
        <v>0</v>
      </c>
      <c r="E52" s="1986">
        <f t="shared" si="71"/>
        <v>0</v>
      </c>
      <c r="F52" s="1986">
        <f t="shared" si="71"/>
        <v>0</v>
      </c>
      <c r="G52" s="1986">
        <f t="shared" si="71"/>
        <v>0</v>
      </c>
      <c r="H52" s="1986">
        <f t="shared" si="71"/>
        <v>0</v>
      </c>
      <c r="I52" s="1986">
        <f t="shared" si="71"/>
        <v>0</v>
      </c>
      <c r="J52" s="1986">
        <f t="shared" si="71"/>
        <v>0</v>
      </c>
      <c r="K52" s="1986">
        <f t="shared" si="71"/>
        <v>0</v>
      </c>
      <c r="L52" s="1986">
        <f t="shared" si="71"/>
        <v>0</v>
      </c>
      <c r="M52" s="1986">
        <f t="shared" ref="M52" si="72">ROUND(M50-M51,2)</f>
        <v>0</v>
      </c>
      <c r="N52" s="1986">
        <f t="shared" si="71"/>
        <v>0</v>
      </c>
      <c r="O52" s="1986">
        <f t="shared" si="71"/>
        <v>0</v>
      </c>
      <c r="P52" s="2006">
        <f t="shared" si="71"/>
        <v>0</v>
      </c>
      <c r="Q52" s="1902">
        <f t="shared" si="71"/>
        <v>0</v>
      </c>
      <c r="R52" s="1902">
        <f t="shared" ca="1" si="71"/>
        <v>0</v>
      </c>
      <c r="S52" s="1902">
        <f t="shared" ca="1" si="71"/>
        <v>0</v>
      </c>
      <c r="T52" s="1902">
        <f t="shared" ca="1" si="71"/>
        <v>0</v>
      </c>
      <c r="U52" s="1986">
        <f t="shared" si="71"/>
        <v>0</v>
      </c>
      <c r="V52" s="1986">
        <f t="shared" si="71"/>
        <v>0</v>
      </c>
      <c r="W52" s="1986">
        <f t="shared" ca="1" si="71"/>
        <v>0</v>
      </c>
      <c r="X52" s="1986">
        <f t="shared" si="71"/>
        <v>0</v>
      </c>
      <c r="Y52" s="1986">
        <f t="shared" si="71"/>
        <v>0</v>
      </c>
      <c r="Z52" s="1986">
        <f t="shared" ref="Z52" si="73">ROUND(Z50-Z51,2)</f>
        <v>0</v>
      </c>
      <c r="AA52" s="1986">
        <f t="shared" si="71"/>
        <v>0</v>
      </c>
      <c r="AB52" s="1986">
        <f t="shared" si="71"/>
        <v>0</v>
      </c>
      <c r="AC52" s="1903">
        <f t="shared" ca="1" si="71"/>
        <v>0</v>
      </c>
      <c r="AD52" s="1973"/>
      <c r="AE52" s="1973"/>
      <c r="AF52" s="1973"/>
      <c r="AG52" s="1973"/>
    </row>
    <row r="53" spans="1:33" s="1974" customFormat="1" ht="19.5" thickTop="1" thickBot="1">
      <c r="A53" s="2879" t="s">
        <v>2565</v>
      </c>
      <c r="B53" s="2880"/>
      <c r="C53" s="2007" t="s">
        <v>5820</v>
      </c>
      <c r="D53" s="2008" t="str">
        <f t="shared" ref="D53:AC53" si="74">IF(D52=0,"√","×")</f>
        <v>√</v>
      </c>
      <c r="E53" s="2008" t="str">
        <f t="shared" si="74"/>
        <v>√</v>
      </c>
      <c r="F53" s="2008" t="str">
        <f t="shared" si="74"/>
        <v>√</v>
      </c>
      <c r="G53" s="2008" t="str">
        <f t="shared" si="74"/>
        <v>√</v>
      </c>
      <c r="H53" s="2008" t="str">
        <f t="shared" si="74"/>
        <v>√</v>
      </c>
      <c r="I53" s="2008" t="str">
        <f t="shared" si="74"/>
        <v>√</v>
      </c>
      <c r="J53" s="2008" t="str">
        <f t="shared" si="74"/>
        <v>√</v>
      </c>
      <c r="K53" s="2008" t="str">
        <f t="shared" si="74"/>
        <v>√</v>
      </c>
      <c r="L53" s="2008" t="str">
        <f t="shared" si="74"/>
        <v>√</v>
      </c>
      <c r="M53" s="2008" t="str">
        <f t="shared" ref="M53" si="75">IF(M52=0,"√","×")</f>
        <v>√</v>
      </c>
      <c r="N53" s="2008" t="str">
        <f t="shared" si="74"/>
        <v>√</v>
      </c>
      <c r="O53" s="2008" t="str">
        <f t="shared" si="74"/>
        <v>√</v>
      </c>
      <c r="P53" s="2009" t="str">
        <f t="shared" si="74"/>
        <v>√</v>
      </c>
      <c r="Q53" s="2010" t="str">
        <f t="shared" si="74"/>
        <v>√</v>
      </c>
      <c r="R53" s="2010" t="str">
        <f t="shared" ca="1" si="74"/>
        <v>√</v>
      </c>
      <c r="S53" s="2010" t="str">
        <f t="shared" ca="1" si="74"/>
        <v>√</v>
      </c>
      <c r="T53" s="2010" t="str">
        <f t="shared" ca="1" si="74"/>
        <v>√</v>
      </c>
      <c r="U53" s="2008" t="str">
        <f t="shared" si="74"/>
        <v>√</v>
      </c>
      <c r="V53" s="2008" t="str">
        <f t="shared" si="74"/>
        <v>√</v>
      </c>
      <c r="W53" s="2008" t="str">
        <f t="shared" ca="1" si="74"/>
        <v>√</v>
      </c>
      <c r="X53" s="2008" t="str">
        <f t="shared" si="74"/>
        <v>√</v>
      </c>
      <c r="Y53" s="2008" t="str">
        <f t="shared" si="74"/>
        <v>√</v>
      </c>
      <c r="Z53" s="2008" t="str">
        <f t="shared" ref="Z53" si="76">IF(Z52=0,"√","×")</f>
        <v>√</v>
      </c>
      <c r="AA53" s="2008" t="str">
        <f t="shared" si="74"/>
        <v>√</v>
      </c>
      <c r="AB53" s="2008" t="str">
        <f t="shared" si="74"/>
        <v>√</v>
      </c>
      <c r="AC53" s="2011" t="str">
        <f t="shared" ca="1" si="74"/>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897" priority="128" stopIfTrue="1" operator="notEqual">
      <formula>0</formula>
    </cfRule>
  </conditionalFormatting>
  <conditionalFormatting sqref="C47:C48 C41">
    <cfRule type="expression" dxfId="3896" priority="127" stopIfTrue="1">
      <formula>#REF!=TRUE</formula>
    </cfRule>
  </conditionalFormatting>
  <conditionalFormatting sqref="C47:C48 C41">
    <cfRule type="expression" dxfId="3895"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20" t="s">
        <v>5807</v>
      </c>
      <c r="F2" s="3120"/>
      <c r="G2" s="3120"/>
      <c r="H2" s="3120"/>
      <c r="I2" s="3120"/>
      <c r="J2" s="3120"/>
      <c r="K2" s="3120"/>
      <c r="L2" s="3120"/>
      <c r="M2" s="1664"/>
      <c r="N2" s="1664"/>
      <c r="O2" s="1664"/>
      <c r="P2" s="1664"/>
    </row>
    <row r="3" spans="1:16" ht="27" customHeight="1">
      <c r="A3" s="2840"/>
      <c r="B3" s="2840"/>
      <c r="C3" s="2840"/>
      <c r="D3" s="2840"/>
      <c r="E3" s="3119" t="str">
        <f>TEXT(Lead!$F$5,"yyyy 年 mm 月 dd 日")</f>
        <v>2019 年 12 月 31 日</v>
      </c>
      <c r="F3" s="3119"/>
      <c r="G3" s="3119"/>
      <c r="H3" s="3119"/>
      <c r="I3" s="3119"/>
      <c r="J3" s="3119"/>
      <c r="K3" s="3119"/>
      <c r="L3" s="3119"/>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编制单位：北京鼎竑信息技术有限公司</v>
      </c>
      <c r="F5" s="2039"/>
      <c r="G5" s="2039"/>
      <c r="H5" s="2039"/>
      <c r="I5" s="2039"/>
      <c r="J5" s="2039"/>
      <c r="K5" s="2039" t="s">
        <v>5750</v>
      </c>
      <c r="L5" s="2039" t="s">
        <v>5751</v>
      </c>
      <c r="M5" s="1664"/>
      <c r="N5" s="1664"/>
      <c r="O5" s="1664"/>
      <c r="P5" s="1664"/>
    </row>
    <row r="6" spans="1:16" ht="21" customHeight="1">
      <c r="A6" s="2870" t="s">
        <v>6636</v>
      </c>
      <c r="B6" s="2870" t="s">
        <v>2557</v>
      </c>
      <c r="C6" s="2870" t="s">
        <v>6637</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0</v>
      </c>
      <c r="H8" s="2126">
        <f t="shared" ref="H8:H30" si="5">IF($C8="","",VLOOKUP($C8,Sheet_Trialbal,10,0))</f>
        <v>799162.6</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5191249.5199999996</v>
      </c>
      <c r="I15" s="2130" t="str">
        <f t="shared" si="3"/>
        <v>应付账款</v>
      </c>
      <c r="J15" s="2124"/>
      <c r="K15" s="2125">
        <f t="shared" si="6"/>
        <v>0</v>
      </c>
      <c r="L15" s="2128">
        <f t="shared" si="7"/>
        <v>0</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214017.93</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70022.3</v>
      </c>
      <c r="I21" s="2130" t="str">
        <f t="shared" si="3"/>
        <v>应付职工薪酬</v>
      </c>
      <c r="J21" s="2124"/>
      <c r="K21" s="2125">
        <f t="shared" si="6"/>
        <v>0</v>
      </c>
      <c r="L21" s="2128">
        <f t="shared" si="7"/>
        <v>1303107.67</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236130.57</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0</v>
      </c>
      <c r="L23" s="2128">
        <f t="shared" si="7"/>
        <v>7949525.4100000001</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0</v>
      </c>
      <c r="H31" s="2126">
        <f>SUM(H8:H30)-SUM(H22,H23)</f>
        <v>6060434.4199999999</v>
      </c>
      <c r="I31" s="2134" t="str">
        <f t="shared" si="3"/>
        <v>流动负债合计</v>
      </c>
      <c r="J31" s="2124"/>
      <c r="K31" s="2125">
        <f>SUM(K8:K30)-SUM(K24,K25)</f>
        <v>0</v>
      </c>
      <c r="L31" s="2128">
        <f>SUM(L8:L30)-SUM(L24,L25)</f>
        <v>9702781.5800000001</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2260.42</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0</v>
      </c>
      <c r="L45" s="2128">
        <f>SUM(L31,L44)</f>
        <v>9702781.5800000001</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v>
      </c>
      <c r="L47" s="2128">
        <f t="shared" si="14"/>
        <v>1000000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2185457.56</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20659.91</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1747379.72</v>
      </c>
      <c r="L57" s="2128">
        <f t="shared" si="14"/>
        <v>-2433969.27</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2208377.89</v>
      </c>
      <c r="I58" s="2138" t="str">
        <f>IF($D58="","",VLOOKUP($D58,Sheet_Items,6,0))</f>
        <v>所有者权益合计</v>
      </c>
      <c r="J58" s="2124"/>
      <c r="K58" s="2125">
        <f>SUM(K47:K48,K51,-K52,K53:K57)</f>
        <v>1747379.72</v>
      </c>
      <c r="L58" s="2128">
        <f>SUM(L47:L48,L51,-L52,L53:L57)</f>
        <v>-1433969.27</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0</v>
      </c>
      <c r="H59" s="2141">
        <f>SUM(H31,H58)</f>
        <v>8268812.3099999996</v>
      </c>
      <c r="I59" s="2142" t="str">
        <f>IF($D59="","",VLOOKUP($D59,Sheet_Items,6,0))</f>
        <v>负债和所有者权益总计</v>
      </c>
      <c r="J59" s="2139"/>
      <c r="K59" s="2140">
        <f>SUM(K45,K58)</f>
        <v>1747379.72</v>
      </c>
      <c r="L59" s="2143">
        <f>SUM(L45,L58)</f>
        <v>8268812.3099999996</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0</v>
      </c>
      <c r="I68" s="1688" t="str">
        <f>I59</f>
        <v>负债和所有者权益总计</v>
      </c>
      <c r="J68" s="1687"/>
      <c r="K68" s="1694">
        <f>K59</f>
        <v>1747379.72</v>
      </c>
      <c r="L68" s="1695">
        <f>ROUND(H68-K68,2)</f>
        <v>-1747379.72</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8268812.3099999996</v>
      </c>
      <c r="I70" s="1704" t="str">
        <f>I59</f>
        <v>负债和所有者权益总计</v>
      </c>
      <c r="J70" s="1702"/>
      <c r="K70" s="1705">
        <f>L59</f>
        <v>8268812.3099999996</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4" priority="18" stopIfTrue="1">
      <formula>#REF!=TRUE</formula>
    </cfRule>
  </conditionalFormatting>
  <conditionalFormatting sqref="L69 L67 L71">
    <cfRule type="cellIs" dxfId="3893" priority="17" stopIfTrue="1" operator="notEqual">
      <formula>0</formula>
    </cfRule>
  </conditionalFormatting>
  <conditionalFormatting sqref="E64:F64">
    <cfRule type="expression" dxfId="3892" priority="16" stopIfTrue="1">
      <formula>#REF!=TRUE</formula>
    </cfRule>
  </conditionalFormatting>
  <conditionalFormatting sqref="L68 L66 L70">
    <cfRule type="cellIs" dxfId="3891" priority="15" stopIfTrue="1" operator="notEqual">
      <formula>0</formula>
    </cfRule>
  </conditionalFormatting>
  <conditionalFormatting sqref="E64:F64">
    <cfRule type="expression" dxfId="3890" priority="14" stopIfTrue="1">
      <formula>#REF!=TRUE</formula>
    </cfRule>
  </conditionalFormatting>
  <conditionalFormatting sqref="L68 L66 L70">
    <cfRule type="cellIs" dxfId="3889" priority="13" stopIfTrue="1" operator="notEqual">
      <formula>0</formula>
    </cfRule>
  </conditionalFormatting>
  <conditionalFormatting sqref="L69 L67">
    <cfRule type="cellIs" dxfId="3888" priority="12" stopIfTrue="1" operator="notEqual">
      <formula>0</formula>
    </cfRule>
  </conditionalFormatting>
  <conditionalFormatting sqref="L68 L70">
    <cfRule type="cellIs" dxfId="3887" priority="11" stopIfTrue="1" operator="notEqual">
      <formula>0</formula>
    </cfRule>
  </conditionalFormatting>
  <conditionalFormatting sqref="L68 L70">
    <cfRule type="cellIs" dxfId="3886" priority="10" stopIfTrue="1" operator="notEqual">
      <formula>0</formula>
    </cfRule>
  </conditionalFormatting>
  <conditionalFormatting sqref="E65:F65">
    <cfRule type="expression" dxfId="3885" priority="9" stopIfTrue="1">
      <formula>#REF!=TRUE</formula>
    </cfRule>
  </conditionalFormatting>
  <conditionalFormatting sqref="L69 L67">
    <cfRule type="cellIs" dxfId="3884" priority="8" stopIfTrue="1" operator="notEqual">
      <formula>0</formula>
    </cfRule>
  </conditionalFormatting>
  <conditionalFormatting sqref="E64:F64">
    <cfRule type="expression" dxfId="3883" priority="7" stopIfTrue="1">
      <formula>#REF!=TRUE</formula>
    </cfRule>
  </conditionalFormatting>
  <conditionalFormatting sqref="L68 L66 L70">
    <cfRule type="cellIs" dxfId="3882" priority="6" stopIfTrue="1" operator="notEqual">
      <formula>0</formula>
    </cfRule>
  </conditionalFormatting>
  <conditionalFormatting sqref="E64:F64">
    <cfRule type="expression" dxfId="3881" priority="5" stopIfTrue="1">
      <formula>#REF!=TRUE</formula>
    </cfRule>
  </conditionalFormatting>
  <conditionalFormatting sqref="L68 L66 L70">
    <cfRule type="cellIs" dxfId="3880" priority="4" stopIfTrue="1" operator="notEqual">
      <formula>0</formula>
    </cfRule>
  </conditionalFormatting>
  <conditionalFormatting sqref="L69 L67">
    <cfRule type="cellIs" dxfId="3879" priority="3" stopIfTrue="1" operator="notEqual">
      <formula>0</formula>
    </cfRule>
  </conditionalFormatting>
  <conditionalFormatting sqref="L68 L70">
    <cfRule type="cellIs" dxfId="3878" priority="2" stopIfTrue="1" operator="notEqual">
      <formula>0</formula>
    </cfRule>
  </conditionalFormatting>
  <conditionalFormatting sqref="L68 L70">
    <cfRule type="cellIs" dxfId="3877"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0" t="s">
        <v>5808</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编制单位：北京鼎竑信息技术有限公司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2189820.39</v>
      </c>
      <c r="F7" s="2149">
        <f>SUM(F8:F11)</f>
        <v>10519044.27</v>
      </c>
      <c r="G7" s="1710"/>
      <c r="H7" s="1710"/>
      <c r="I7" s="852"/>
      <c r="J7" s="1664"/>
    </row>
    <row r="8" spans="1:10" ht="18" customHeight="1">
      <c r="A8" s="2853">
        <f t="shared" si="0"/>
        <v>0</v>
      </c>
      <c r="B8" s="2854">
        <v>6001</v>
      </c>
      <c r="C8" s="2150" t="str">
        <f t="shared" si="1"/>
        <v>其中：营业收入</v>
      </c>
      <c r="D8" s="2151"/>
      <c r="E8" s="2125">
        <f>IF($B8="","",VLOOKUP($B8,Sheet_Trialbal,6,0))</f>
        <v>2189820.39</v>
      </c>
      <c r="F8" s="2128">
        <f>IF($B8="","",VLOOKUP($B8,Sheet_Trialbal,10,0))</f>
        <v>10519044.27</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1578215.32</v>
      </c>
      <c r="F12" s="2149">
        <f>SUM(F13:F25)</f>
        <v>4980985.95</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1009661.4</v>
      </c>
      <c r="F13" s="2128">
        <f t="shared" ref="F13:F37" si="3">IF($B13="","",VLOOKUP($B13,Sheet_Trialbal,10,0))</f>
        <v>4316544.09</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147093.37</v>
      </c>
      <c r="F21" s="2128">
        <f t="shared" si="3"/>
        <v>42462.27</v>
      </c>
      <c r="G21" s="1710"/>
      <c r="H21" s="1710"/>
      <c r="I21" s="852"/>
      <c r="J21" s="1664"/>
    </row>
    <row r="22" spans="1:10" ht="18" customHeight="1">
      <c r="A22" s="2853">
        <f t="shared" si="0"/>
        <v>0</v>
      </c>
      <c r="B22" s="2854">
        <v>6601</v>
      </c>
      <c r="C22" s="2152" t="str">
        <f t="shared" si="1"/>
        <v>销售费用</v>
      </c>
      <c r="D22" s="2151"/>
      <c r="E22" s="2125">
        <f t="shared" si="2"/>
        <v>0</v>
      </c>
      <c r="F22" s="2128">
        <f t="shared" si="3"/>
        <v>494261.11</v>
      </c>
      <c r="G22" s="1710"/>
      <c r="H22" s="1710"/>
      <c r="I22" s="852"/>
      <c r="J22" s="1664"/>
    </row>
    <row r="23" spans="1:10" ht="18" customHeight="1">
      <c r="A23" s="2853">
        <f t="shared" si="0"/>
        <v>0</v>
      </c>
      <c r="B23" s="2854">
        <v>6602</v>
      </c>
      <c r="C23" s="2152" t="str">
        <f t="shared" si="1"/>
        <v>管理费用</v>
      </c>
      <c r="D23" s="2151"/>
      <c r="E23" s="2125">
        <f t="shared" si="2"/>
        <v>419878.21</v>
      </c>
      <c r="F23" s="2128">
        <f t="shared" si="3"/>
        <v>6359.38</v>
      </c>
      <c r="G23" s="1710"/>
      <c r="H23" s="1710"/>
      <c r="I23" s="852"/>
      <c r="J23" s="1664"/>
    </row>
    <row r="24" spans="1:10" ht="18" customHeight="1">
      <c r="A24" s="2853">
        <f t="shared" si="0"/>
        <v>0</v>
      </c>
      <c r="B24" s="2854">
        <v>6606</v>
      </c>
      <c r="C24" s="2152" t="str">
        <f t="shared" si="1"/>
        <v>研发费用</v>
      </c>
      <c r="D24" s="2151"/>
      <c r="E24" s="2125">
        <f t="shared" si="2"/>
        <v>0</v>
      </c>
      <c r="F24" s="2128">
        <f t="shared" si="3"/>
        <v>121122.15</v>
      </c>
      <c r="G24" s="1710"/>
      <c r="H24" s="1710"/>
      <c r="I24" s="852"/>
      <c r="J24" s="1664"/>
    </row>
    <row r="25" spans="1:10" ht="18" customHeight="1">
      <c r="A25" s="2853">
        <f t="shared" si="0"/>
        <v>0</v>
      </c>
      <c r="B25" s="2854">
        <v>6603</v>
      </c>
      <c r="C25" s="2152" t="str">
        <f t="shared" si="1"/>
        <v>财务费用</v>
      </c>
      <c r="D25" s="2151"/>
      <c r="E25" s="2125">
        <f t="shared" si="2"/>
        <v>1582.34</v>
      </c>
      <c r="F25" s="2128">
        <f t="shared" si="3"/>
        <v>236.95</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975.88</v>
      </c>
      <c r="G26" s="1710"/>
      <c r="H26" s="1710"/>
      <c r="I26" s="852"/>
      <c r="J26" s="1664"/>
    </row>
    <row r="27" spans="1:10" ht="18" customHeight="1">
      <c r="A27" s="2853">
        <f t="shared" si="0"/>
        <v>0</v>
      </c>
      <c r="B27" s="2854" t="s">
        <v>810</v>
      </c>
      <c r="C27" s="2154" t="str">
        <f t="shared" si="1"/>
        <v>利息收入</v>
      </c>
      <c r="D27" s="2151"/>
      <c r="E27" s="2125">
        <f t="shared" si="2"/>
        <v>-519.74</v>
      </c>
      <c r="F27" s="2128">
        <f t="shared" si="3"/>
        <v>-644.88</v>
      </c>
      <c r="G27" s="1710"/>
      <c r="H27" s="1710"/>
      <c r="I27" s="852"/>
      <c r="J27" s="1664"/>
    </row>
    <row r="28" spans="1:10" ht="18" customHeight="1">
      <c r="A28" s="2853">
        <f t="shared" si="0"/>
        <v>0</v>
      </c>
      <c r="B28" s="2854">
        <v>6181</v>
      </c>
      <c r="C28" s="2152" t="str">
        <f t="shared" si="1"/>
        <v>加：其他收益</v>
      </c>
      <c r="D28" s="2151"/>
      <c r="E28" s="2125">
        <f t="shared" si="2"/>
        <v>41615.08</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4831.16</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-35987.15</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658051.31000000006</v>
      </c>
      <c r="F38" s="2149">
        <f>SUM(F8:F11)-SUM(F13:F25)+SUM(F28:F37)-SUM(F30,F31)</f>
        <v>5502071.1699999999</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658051.31000000006</v>
      </c>
      <c r="F41" s="2149">
        <f>SUM(F38,F39,-F40)</f>
        <v>5502071.1699999999</v>
      </c>
      <c r="G41" s="1711"/>
      <c r="H41" s="1711"/>
      <c r="I41" s="852"/>
      <c r="J41" s="1664"/>
    </row>
    <row r="42" spans="1:10" ht="18" customHeight="1">
      <c r="A42" s="2853">
        <f t="shared" si="0"/>
        <v>0</v>
      </c>
      <c r="B42" s="2857">
        <v>6791</v>
      </c>
      <c r="C42" s="2150" t="str">
        <f t="shared" si="4"/>
        <v>减：所得税费用</v>
      </c>
      <c r="D42" s="2151"/>
      <c r="E42" s="2125">
        <f>IF($B42="","",VLOOKUP($B42,Sheet_Trialbal,6,0))</f>
        <v>-1089328.4099999999</v>
      </c>
      <c r="F42" s="2128">
        <f>IF($B42="","",VLOOKUP($B42,Sheet_Trialbal,10,0))</f>
        <v>38389.24</v>
      </c>
      <c r="G42" s="1710"/>
      <c r="H42" s="1710"/>
      <c r="I42" s="852"/>
      <c r="J42" s="1664"/>
    </row>
    <row r="43" spans="1:10" ht="18" customHeight="1">
      <c r="A43" s="2853" t="str">
        <f t="shared" si="0"/>
        <v>＝</v>
      </c>
      <c r="B43" s="2857">
        <v>6799</v>
      </c>
      <c r="C43" s="2158" t="str">
        <f t="shared" si="4"/>
        <v>五、净利润（净亏损以“-”号填列）</v>
      </c>
      <c r="D43" s="2147"/>
      <c r="E43" s="2148">
        <f>SUM(E41,-E42)</f>
        <v>1747379.72</v>
      </c>
      <c r="F43" s="2149">
        <f>SUM(F41,-F42)</f>
        <v>5463681.9299999997</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1747379.72</v>
      </c>
      <c r="F65" s="2128">
        <f>SUM(F43,F46)</f>
        <v>5463681.9299999997</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2"/>
      <c r="D69" s="3132"/>
      <c r="E69" s="3132"/>
      <c r="F69" s="3132"/>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21"/>
      <c r="D71" s="3121"/>
      <c r="E71" s="3121"/>
      <c r="F71" s="3121"/>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1747379.72</v>
      </c>
      <c r="F77" s="1728">
        <f>F43</f>
        <v>5463681.9299999997</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1747379.72</v>
      </c>
      <c r="F79" s="1731">
        <f>ROUND(F77-F78,2)</f>
        <v>5463681.9299999997</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1747379.72</v>
      </c>
      <c r="F82" s="1728">
        <f>F43</f>
        <v>5463681.9299999997</v>
      </c>
      <c r="G82" s="853"/>
      <c r="H82" s="853"/>
      <c r="I82" s="852"/>
      <c r="J82" s="1664"/>
    </row>
    <row r="83" spans="1:10" ht="18">
      <c r="A83" s="2868" t="s">
        <v>2565</v>
      </c>
      <c r="B83" s="2869"/>
      <c r="C83" s="1691" t="str">
        <f>OwnersEquity!$C$15&amp;" | "&amp;OwnersEquity!$N$7</f>
        <v>（一）综合收益总额 | 未分配利润</v>
      </c>
      <c r="D83" s="1724" t="s">
        <v>5764</v>
      </c>
      <c r="E83" s="1727">
        <f>OwnersEquity!N15</f>
        <v>1747379.72</v>
      </c>
      <c r="F83" s="1728">
        <f>OwnersEquity!AA15</f>
        <v>5463681.9299999997</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1747379.72</v>
      </c>
      <c r="F90" s="1728">
        <f>F65</f>
        <v>5463681.9299999997</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1747379.72</v>
      </c>
      <c r="F91" s="1728">
        <f ca="1">OwnersEquity!AC15</f>
        <v>5463681.9299999997</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1747379.72</v>
      </c>
      <c r="F94" s="1706">
        <f ca="1">SUMIF($C$76:$C$93,"差       异",F76:F93)</f>
        <v>5463681.9299999997</v>
      </c>
      <c r="G94" s="1736"/>
      <c r="H94" s="1740" t="str">
        <f ca="1">IF(E94+F94=0,"Balanced","Diff "&amp;TEXT(ROUND(E94+F94,2),"#,###.00"))</f>
        <v>Diff 7,211,061.65</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6" priority="56" stopIfTrue="1" operator="notEqual">
      <formula>0</formula>
    </cfRule>
  </conditionalFormatting>
  <conditionalFormatting sqref="D74:D75 C74">
    <cfRule type="expression" dxfId="3875" priority="55" stopIfTrue="1">
      <formula>#REF!=TRUE</formula>
    </cfRule>
  </conditionalFormatting>
  <conditionalFormatting sqref="E94:F94 E88:F88 E92:F92 E84:F84">
    <cfRule type="cellIs" dxfId="3874" priority="54" stopIfTrue="1" operator="notEqual">
      <formula>0</formula>
    </cfRule>
  </conditionalFormatting>
  <conditionalFormatting sqref="E94:F94 E88:F88 E92:F92 E84:F84">
    <cfRule type="cellIs" dxfId="3873" priority="52" stopIfTrue="1" operator="notEqual">
      <formula>0</formula>
    </cfRule>
  </conditionalFormatting>
  <conditionalFormatting sqref="E94:F94 E88:F88 E92:F92 E84:F84">
    <cfRule type="cellIs" dxfId="3872" priority="51" stopIfTrue="1" operator="notEqual">
      <formula>0</formula>
    </cfRule>
  </conditionalFormatting>
  <conditionalFormatting sqref="E94:F94 E88:F88 E92:F92 E84:F84">
    <cfRule type="cellIs" dxfId="3871" priority="50" stopIfTrue="1" operator="notEqual">
      <formula>0</formula>
    </cfRule>
  </conditionalFormatting>
  <conditionalFormatting sqref="E94:F94 E88:F88 E92:F92 E84:F84">
    <cfRule type="cellIs" dxfId="3870" priority="48" stopIfTrue="1" operator="notEqual">
      <formula>0</formula>
    </cfRule>
  </conditionalFormatting>
  <conditionalFormatting sqref="E94:F94 E88:F88 E92:F92 E84:F84">
    <cfRule type="cellIs" dxfId="3869" priority="46" stopIfTrue="1" operator="notEqual">
      <formula>0</formula>
    </cfRule>
  </conditionalFormatting>
  <conditionalFormatting sqref="E94:F94 E88:F88 E92:F92 E84:F84">
    <cfRule type="cellIs" dxfId="3868" priority="45" stopIfTrue="1" operator="notEqual">
      <formula>0</formula>
    </cfRule>
  </conditionalFormatting>
  <conditionalFormatting sqref="E94:F94 E88:F88 E92:F92 E84:F84">
    <cfRule type="cellIs" dxfId="3867" priority="44" stopIfTrue="1" operator="notEqual">
      <formula>0</formula>
    </cfRule>
  </conditionalFormatting>
  <conditionalFormatting sqref="E94:F94 E88:F88 E92:F92 E84:F84">
    <cfRule type="cellIs" dxfId="3866" priority="43" stopIfTrue="1" operator="notEqual">
      <formula>0</formula>
    </cfRule>
  </conditionalFormatting>
  <conditionalFormatting sqref="E94:F94 E88:F88 E92:F92 E84:F84">
    <cfRule type="cellIs" dxfId="3865" priority="42" stopIfTrue="1" operator="notEqual">
      <formula>0</formula>
    </cfRule>
  </conditionalFormatting>
  <conditionalFormatting sqref="E94:F94 E88:F88 E92:F92 E84:F84">
    <cfRule type="cellIs" dxfId="3864" priority="41" stopIfTrue="1" operator="notEqual">
      <formula>0</formula>
    </cfRule>
  </conditionalFormatting>
  <conditionalFormatting sqref="E94:F94 E88:F88 E92:F92 E84:F84">
    <cfRule type="cellIs" dxfId="3863" priority="40" stopIfTrue="1" operator="notEqual">
      <formula>0</formula>
    </cfRule>
  </conditionalFormatting>
  <conditionalFormatting sqref="E94:F94 E88:F88 E92:F92 E84:F84">
    <cfRule type="cellIs" dxfId="3862" priority="38" stopIfTrue="1" operator="notEqual">
      <formula>0</formula>
    </cfRule>
  </conditionalFormatting>
  <conditionalFormatting sqref="E94:F94 E88:F88 E92:F92 E84:F84">
    <cfRule type="cellIs" dxfId="3861" priority="36" stopIfTrue="1" operator="notEqual">
      <formula>0</formula>
    </cfRule>
  </conditionalFormatting>
  <conditionalFormatting sqref="E94:F94 E88:F88 E92:F92 E84:F84">
    <cfRule type="cellIs" dxfId="3860" priority="35" stopIfTrue="1" operator="notEqual">
      <formula>0</formula>
    </cfRule>
  </conditionalFormatting>
  <conditionalFormatting sqref="E94:F94 E88:F88 E92:F92 E84:F84">
    <cfRule type="cellIs" dxfId="3859" priority="34" stopIfTrue="1" operator="notEqual">
      <formula>0</formula>
    </cfRule>
  </conditionalFormatting>
  <conditionalFormatting sqref="E94:F94 E88:F88 E92:F92 E84:F84">
    <cfRule type="cellIs" dxfId="3858" priority="32" stopIfTrue="1" operator="notEqual">
      <formula>0</formula>
    </cfRule>
  </conditionalFormatting>
  <conditionalFormatting sqref="E94:F94 E88:F88 E92:F92 E84:F84">
    <cfRule type="cellIs" dxfId="3857" priority="30" stopIfTrue="1" operator="notEqual">
      <formula>0</formula>
    </cfRule>
  </conditionalFormatting>
  <conditionalFormatting sqref="E94:F94 E88:F88 E92:F92 E84:F84">
    <cfRule type="cellIs" dxfId="3856" priority="29" stopIfTrue="1" operator="notEqual">
      <formula>0</formula>
    </cfRule>
  </conditionalFormatting>
  <conditionalFormatting sqref="E94:F94 E88:F88 E92:F92 E84:F84">
    <cfRule type="cellIs" dxfId="3855" priority="28" stopIfTrue="1" operator="notEqual">
      <formula>0</formula>
    </cfRule>
  </conditionalFormatting>
  <conditionalFormatting sqref="E94:F94 E88:F88 E92:F92 E84:F84">
    <cfRule type="cellIs" dxfId="3854" priority="27" stopIfTrue="1" operator="notEqual">
      <formula>0</formula>
    </cfRule>
  </conditionalFormatting>
  <conditionalFormatting sqref="E94:F94 E88:F88 E92:F92 E84:F84">
    <cfRule type="cellIs" dxfId="3853" priority="26" stopIfTrue="1" operator="notEqual">
      <formula>0</formula>
    </cfRule>
  </conditionalFormatting>
  <conditionalFormatting sqref="E94:F94 E88:F88 E92:F92 E84:F84">
    <cfRule type="cellIs" dxfId="3852"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0" t="s">
        <v>5809</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编制单位：北京鼎竑信息技术有限公司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3423319.05</v>
      </c>
      <c r="F8" s="2128">
        <f t="shared" ref="F8:F20" si="3">VLOOKUP($B8,Sheet_Trialbal,10,0)</f>
        <v>5797532.9199999999</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1462.35</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120871.54</v>
      </c>
      <c r="F20" s="2128">
        <f t="shared" si="3"/>
        <v>75955.25</v>
      </c>
      <c r="G20" s="1664"/>
      <c r="H20" s="1664"/>
      <c r="I20" s="1664"/>
      <c r="J20" s="1664"/>
    </row>
    <row r="21" spans="1:10" ht="18" customHeight="1">
      <c r="A21" s="2842" t="str">
        <f t="shared" si="0"/>
        <v>＝</v>
      </c>
      <c r="B21" s="2844">
        <v>7048</v>
      </c>
      <c r="C21" s="2075" t="str">
        <f t="shared" si="1"/>
        <v>经营活动现金流入小计</v>
      </c>
      <c r="D21" s="2168"/>
      <c r="E21" s="2125">
        <f>SUM(E8:E20)</f>
        <v>3545652.94</v>
      </c>
      <c r="F21" s="2128">
        <f>SUM(F8:F20)</f>
        <v>5873488.1699999999</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281714.11</v>
      </c>
      <c r="F22" s="2128">
        <f t="shared" ref="F22:F31" si="5">VLOOKUP($B22,Sheet_Trialbal,10,0)</f>
        <v>81582.06</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2184383.0299999998</v>
      </c>
      <c r="F29" s="2128">
        <f t="shared" si="5"/>
        <v>4358899.5999999996</v>
      </c>
      <c r="G29" s="1664"/>
      <c r="H29" s="1664"/>
      <c r="I29" s="1664"/>
      <c r="J29" s="1664"/>
    </row>
    <row r="30" spans="1:10" ht="18" customHeight="1">
      <c r="A30" s="2842">
        <f t="shared" si="0"/>
        <v>0</v>
      </c>
      <c r="B30" s="2843">
        <v>7071</v>
      </c>
      <c r="C30" s="2079" t="str">
        <f t="shared" si="1"/>
        <v>支付的各项税费</v>
      </c>
      <c r="D30" s="2168"/>
      <c r="E30" s="2125">
        <f t="shared" si="4"/>
        <v>734423.99</v>
      </c>
      <c r="F30" s="2128">
        <f t="shared" si="5"/>
        <v>484649.86</v>
      </c>
      <c r="G30" s="1664"/>
      <c r="H30" s="1664"/>
      <c r="I30" s="1664"/>
      <c r="J30" s="1664"/>
    </row>
    <row r="31" spans="1:10" ht="18" customHeight="1">
      <c r="A31" s="2842">
        <f t="shared" si="0"/>
        <v>0</v>
      </c>
      <c r="B31" s="2843">
        <v>7096</v>
      </c>
      <c r="C31" s="2079" t="str">
        <f t="shared" si="1"/>
        <v>支付其他与经营活动有关的现金</v>
      </c>
      <c r="D31" s="2168"/>
      <c r="E31" s="2125">
        <f t="shared" si="4"/>
        <v>26330.27</v>
      </c>
      <c r="F31" s="2128">
        <f t="shared" si="5"/>
        <v>1504600.6</v>
      </c>
      <c r="G31" s="1664"/>
      <c r="H31" s="1664"/>
      <c r="I31" s="1664"/>
      <c r="J31" s="1664"/>
    </row>
    <row r="32" spans="1:10" ht="18" customHeight="1">
      <c r="A32" s="2842" t="str">
        <f t="shared" si="0"/>
        <v>＝</v>
      </c>
      <c r="B32" s="2844">
        <v>7098</v>
      </c>
      <c r="C32" s="2075" t="str">
        <f t="shared" si="1"/>
        <v>经营活动现金流出小计</v>
      </c>
      <c r="D32" s="2168"/>
      <c r="E32" s="2125">
        <f>SUM(E22:E31)</f>
        <v>3226851.4</v>
      </c>
      <c r="F32" s="2128">
        <f>SUM(F22:F31)</f>
        <v>6429732.1200000001</v>
      </c>
      <c r="G32" s="1664"/>
      <c r="H32" s="1664"/>
      <c r="I32" s="1664"/>
      <c r="J32" s="1664"/>
    </row>
    <row r="33" spans="1:10" ht="18" customHeight="1">
      <c r="A33" s="2842" t="str">
        <f t="shared" si="0"/>
        <v>＝</v>
      </c>
      <c r="B33" s="2844">
        <v>7099</v>
      </c>
      <c r="C33" s="2075" t="str">
        <f t="shared" si="1"/>
        <v>经营活动产生的现金流量净额</v>
      </c>
      <c r="D33" s="2168"/>
      <c r="E33" s="2125">
        <f>SUM(E21,-E32)</f>
        <v>318801.53999999998</v>
      </c>
      <c r="F33" s="2128">
        <f>SUM(F21,-F32)</f>
        <v>-556243.94999999995</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0</v>
      </c>
      <c r="G46" s="1664"/>
      <c r="H46" s="1664"/>
      <c r="I46" s="1664"/>
      <c r="J46" s="1664"/>
    </row>
    <row r="47" spans="1:10" ht="18" customHeight="1">
      <c r="A47" s="2842" t="str">
        <f t="shared" si="6"/>
        <v>＝</v>
      </c>
      <c r="B47" s="2843">
        <v>7199</v>
      </c>
      <c r="C47" s="2075" t="str">
        <f t="shared" si="7"/>
        <v>投资活动产生的现金流量净额</v>
      </c>
      <c r="D47" s="2168"/>
      <c r="E47" s="2125">
        <f>SUM(E40,-E46)</f>
        <v>0</v>
      </c>
      <c r="F47" s="2128">
        <f>SUM(F40,-F46)</f>
        <v>0</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1194580.43</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1194580.43</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738000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738000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-738000</v>
      </c>
      <c r="F57" s="2128">
        <f>SUM(F52,-F56)</f>
        <v>1194580.43</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-419198.46</v>
      </c>
      <c r="F59" s="2128">
        <f>SUM(F33,F47,F57,F58)</f>
        <v>638336.48</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799162.6</v>
      </c>
      <c r="F60" s="2128">
        <f>VLOOKUP($B60,Sheet_Trialbal,10,0)</f>
        <v>160826.12</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379964.14</v>
      </c>
      <c r="F61" s="2164">
        <f>SUM(F59,F60)</f>
        <v>799162.6</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1747379.72</v>
      </c>
      <c r="F68" s="1755">
        <f>VLOOKUP(6799,Sheet_Trialbal,10,0)</f>
        <v>5463681.9299999997</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35987.15</v>
      </c>
      <c r="G69" s="1751"/>
      <c r="H69" s="1751"/>
      <c r="I69" s="1751"/>
      <c r="J69" s="1664"/>
    </row>
    <row r="70" spans="1:16" ht="18">
      <c r="A70" s="2847"/>
      <c r="B70" s="2844">
        <v>7504</v>
      </c>
      <c r="C70" s="1756" t="str">
        <f t="shared" si="9"/>
        <v>信用减值损失</v>
      </c>
      <c r="D70" s="1753"/>
      <c r="E70" s="1754">
        <f t="shared" si="10"/>
        <v>-4831.16</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1298.1600000000001</v>
      </c>
      <c r="F71" s="1755">
        <f t="shared" si="11"/>
        <v>507.85</v>
      </c>
      <c r="G71" s="1751"/>
      <c r="H71" s="1751"/>
      <c r="I71" s="1751"/>
      <c r="J71" s="1664"/>
    </row>
    <row r="72" spans="1:16" ht="18">
      <c r="A72" s="2847">
        <f t="shared" si="8"/>
        <v>0</v>
      </c>
      <c r="B72" s="2844">
        <v>7506</v>
      </c>
      <c r="C72" s="1756" t="str">
        <f t="shared" si="9"/>
        <v>无形资产摊销</v>
      </c>
      <c r="D72" s="1753"/>
      <c r="E72" s="1754">
        <f t="shared" si="10"/>
        <v>218545.8</v>
      </c>
      <c r="F72" s="1755">
        <f t="shared" si="11"/>
        <v>0</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-1090974.7</v>
      </c>
      <c r="F79" s="1755">
        <f t="shared" si="11"/>
        <v>-8996.7900000000009</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4227653.54</v>
      </c>
      <c r="F82" s="1755">
        <f t="shared" si="11"/>
        <v>-5015190.28</v>
      </c>
      <c r="G82" s="1751"/>
      <c r="H82" s="1751"/>
      <c r="I82" s="1751"/>
      <c r="J82" s="1664"/>
    </row>
    <row r="83" spans="1:10" ht="18">
      <c r="A83" s="2847">
        <f t="shared" si="8"/>
        <v>0</v>
      </c>
      <c r="B83" s="2844">
        <v>7519</v>
      </c>
      <c r="C83" s="1756" t="str">
        <f t="shared" si="9"/>
        <v>经营性应付项目的增加（减少以“－”号填列）</v>
      </c>
      <c r="D83" s="1753"/>
      <c r="E83" s="1754">
        <f t="shared" si="10"/>
        <v>-4780269.82</v>
      </c>
      <c r="F83" s="1755">
        <f t="shared" si="11"/>
        <v>-1032233.81</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318801.53999999998</v>
      </c>
      <c r="F85" s="1759">
        <f>SUM(F68:F84)</f>
        <v>-556243.94999999995</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379964.14</v>
      </c>
      <c r="F91" s="1755">
        <f>VLOOKUP($B91,Sheet_Trialbal,10,0)</f>
        <v>799162.6</v>
      </c>
      <c r="G91" s="1751"/>
      <c r="H91" s="1751"/>
      <c r="I91" s="1751"/>
      <c r="J91" s="1664"/>
    </row>
    <row r="92" spans="1:10" ht="18">
      <c r="A92" s="2847">
        <f t="shared" si="8"/>
        <v>0</v>
      </c>
      <c r="B92" s="2844">
        <v>7536</v>
      </c>
      <c r="C92" s="1756" t="str">
        <f t="shared" si="9"/>
        <v>减：现金的年初余额</v>
      </c>
      <c r="D92" s="1753"/>
      <c r="E92" s="1754">
        <f>VLOOKUP($B92,Sheet_Trialbal,6,0)</f>
        <v>799162.6</v>
      </c>
      <c r="F92" s="1755">
        <f>VLOOKUP($B92,Sheet_Trialbal,10,0)</f>
        <v>160826.12</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-419198.46</v>
      </c>
      <c r="F95" s="1763">
        <f>SUM(F91,-F92,F93,-F94)</f>
        <v>638336.48</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799162.6</v>
      </c>
      <c r="F100" s="1782"/>
      <c r="G100" s="853"/>
      <c r="H100" s="853"/>
      <c r="I100" s="1751"/>
      <c r="J100" s="1664"/>
    </row>
    <row r="101" spans="1:10" ht="18">
      <c r="A101" s="2847"/>
      <c r="B101" s="2844"/>
      <c r="C101" s="1780" t="str">
        <f>C61&amp;" | "&amp;F98</f>
        <v>六、期末现金及现金等价物余额 | 上期金额</v>
      </c>
      <c r="D101" s="1777" t="s">
        <v>5777</v>
      </c>
      <c r="E101" s="1781">
        <f>F61</f>
        <v>799162.6</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1747379.72</v>
      </c>
      <c r="F105" s="1782">
        <f>F68</f>
        <v>5463681.9299999997</v>
      </c>
      <c r="G105" s="853"/>
      <c r="H105" s="853"/>
      <c r="I105" s="1751"/>
      <c r="J105" s="1664"/>
    </row>
    <row r="106" spans="1:10" ht="18">
      <c r="A106" s="2847"/>
      <c r="B106" s="2844">
        <v>6799</v>
      </c>
      <c r="C106" s="1780" t="str">
        <f>VLOOKUP($B106,Sheet_Items,2,0)</f>
        <v>净利润</v>
      </c>
      <c r="D106" s="1777" t="s">
        <v>5781</v>
      </c>
      <c r="E106" s="1781">
        <f>IncomeStatement!E43</f>
        <v>1747379.72</v>
      </c>
      <c r="F106" s="1782">
        <f>IncomeStatement!F43</f>
        <v>5463681.9299999997</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318801.53999999998</v>
      </c>
      <c r="F110" s="1782">
        <f>F85</f>
        <v>-556243.94999999995</v>
      </c>
      <c r="G110" s="853"/>
      <c r="H110" s="853"/>
      <c r="I110" s="1751"/>
      <c r="J110" s="1664"/>
    </row>
    <row r="111" spans="1:10" ht="18">
      <c r="A111" s="2847"/>
      <c r="B111" s="2844">
        <v>7099</v>
      </c>
      <c r="C111" s="1780" t="str">
        <f>C33&amp;"（主表）"</f>
        <v>经营活动产生的现金流量净额（主表）</v>
      </c>
      <c r="D111" s="1777" t="s">
        <v>5777</v>
      </c>
      <c r="E111" s="1781">
        <f>E33</f>
        <v>318801.53999999998</v>
      </c>
      <c r="F111" s="1782">
        <f>F33</f>
        <v>-556243.94999999995</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379964.14</v>
      </c>
      <c r="F114" s="1782">
        <f>SUM(F91,F93)</f>
        <v>799162.6</v>
      </c>
      <c r="G114" s="853"/>
      <c r="H114" s="853"/>
      <c r="I114" s="1751"/>
      <c r="J114" s="1664"/>
    </row>
    <row r="115" spans="1:10" ht="18">
      <c r="A115" s="2847"/>
      <c r="B115" s="2850">
        <v>7399</v>
      </c>
      <c r="C115" s="1780" t="str">
        <f>C61&amp;"（主表）"</f>
        <v>六、期末现金及现金等价物余额（主表）</v>
      </c>
      <c r="D115" s="1777" t="s">
        <v>5777</v>
      </c>
      <c r="E115" s="1781">
        <f>E61</f>
        <v>379964.14</v>
      </c>
      <c r="F115" s="1782">
        <f>F61</f>
        <v>799162.6</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799162.6</v>
      </c>
      <c r="F118" s="1782">
        <f>SUM(F92,F94)</f>
        <v>160826.12</v>
      </c>
      <c r="G118" s="853"/>
      <c r="H118" s="853"/>
      <c r="I118" s="1751"/>
      <c r="J118" s="1664"/>
    </row>
    <row r="119" spans="1:10" ht="18">
      <c r="A119" s="2847"/>
      <c r="B119" s="2850">
        <v>7349</v>
      </c>
      <c r="C119" s="1780" t="str">
        <f>C60&amp;"（主表）"</f>
        <v>加：期初现金及现金等价物余额（主表）</v>
      </c>
      <c r="D119" s="1777" t="s">
        <v>5777</v>
      </c>
      <c r="E119" s="1781">
        <f>E60</f>
        <v>799162.6</v>
      </c>
      <c r="F119" s="1782">
        <f>F60</f>
        <v>160826.12</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-419198.46</v>
      </c>
      <c r="F122" s="1782">
        <f>F95</f>
        <v>638336.48</v>
      </c>
      <c r="G122" s="853"/>
      <c r="H122" s="853"/>
      <c r="I122" s="1751"/>
      <c r="J122" s="1664"/>
    </row>
    <row r="123" spans="1:10" ht="18">
      <c r="A123" s="2847"/>
      <c r="B123" s="2850">
        <v>7348</v>
      </c>
      <c r="C123" s="1780" t="str">
        <f>C59&amp;"（主表）"</f>
        <v>五、现金及现金等价物净增加额（主表）</v>
      </c>
      <c r="D123" s="1777" t="s">
        <v>5782</v>
      </c>
      <c r="E123" s="1781">
        <f>E59</f>
        <v>-419198.46</v>
      </c>
      <c r="F123" s="1782">
        <f>F59</f>
        <v>638336.48</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1" priority="6" stopIfTrue="1" operator="notEqual">
      <formula>0</formula>
    </cfRule>
  </conditionalFormatting>
  <conditionalFormatting sqref="C97:D97 D98">
    <cfRule type="expression" dxfId="3850" priority="5" stopIfTrue="1">
      <formula>#REF!=TRUE</formula>
    </cfRule>
  </conditionalFormatting>
  <conditionalFormatting sqref="E126:F126 E112:F112 E107:F107 E116:F116 E120:F120 E124:F124 E102:F102">
    <cfRule type="cellIs" dxfId="3849" priority="4" stopIfTrue="1" operator="notEqual">
      <formula>0</formula>
    </cfRule>
  </conditionalFormatting>
  <conditionalFormatting sqref="E126:F126 E112:F112 E107:F107 E116:F116 E120:F120 E124:F124 E102:F102">
    <cfRule type="cellIs" dxfId="3848" priority="3" stopIfTrue="1" operator="notEqual">
      <formula>0</formula>
    </cfRule>
  </conditionalFormatting>
  <conditionalFormatting sqref="C97:D97 D98">
    <cfRule type="expression" dxfId="3847" priority="2" stopIfTrue="1">
      <formula>#REF!=TRUE</formula>
    </cfRule>
  </conditionalFormatting>
  <conditionalFormatting sqref="E126:F126 E112:F112 E107:F107 E116:F116 E120:F120 E124:F124 E102:F102">
    <cfRule type="cellIs" dxfId="3846"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编制单位：北京鼎竑信息技术有限公司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135" t="str">
        <f>Lead!$F$7</f>
        <v>2019年度</v>
      </c>
      <c r="E6" s="3135"/>
      <c r="F6" s="3135"/>
      <c r="G6" s="3135"/>
      <c r="H6" s="3135"/>
      <c r="I6" s="3135"/>
      <c r="J6" s="3135"/>
      <c r="K6" s="3135"/>
      <c r="L6" s="3135"/>
      <c r="M6" s="3135"/>
      <c r="N6" s="3135"/>
      <c r="O6" s="3135"/>
      <c r="P6" s="3136"/>
      <c r="Q6" s="3137" t="str">
        <f>Lead!$F$8</f>
        <v>2018年度</v>
      </c>
      <c r="R6" s="3135"/>
      <c r="S6" s="3135"/>
      <c r="T6" s="3135"/>
      <c r="U6" s="3135"/>
      <c r="V6" s="3135"/>
      <c r="W6" s="3135"/>
      <c r="X6" s="3135"/>
      <c r="Y6" s="3135"/>
      <c r="Z6" s="3135"/>
      <c r="AA6" s="3135"/>
      <c r="AB6" s="3135"/>
      <c r="AC6" s="3136"/>
      <c r="AD6" s="1803"/>
      <c r="AE6" s="1803"/>
      <c r="AF6" s="1803"/>
      <c r="AG6" s="1803"/>
    </row>
    <row r="7" spans="1:33" ht="18" customHeight="1">
      <c r="A7" s="1796" t="s">
        <v>2556</v>
      </c>
      <c r="B7" s="1796" t="s">
        <v>2558</v>
      </c>
      <c r="C7" s="2899" t="s">
        <v>5134</v>
      </c>
      <c r="D7" s="3138" t="s">
        <v>5851</v>
      </c>
      <c r="E7" s="3139" t="s">
        <v>5795</v>
      </c>
      <c r="F7" s="3139"/>
      <c r="G7" s="3139"/>
      <c r="H7" s="3133" t="s">
        <v>592</v>
      </c>
      <c r="I7" s="3133" t="s">
        <v>682</v>
      </c>
      <c r="J7" s="3133" t="s">
        <v>5796</v>
      </c>
      <c r="K7" s="3133" t="s">
        <v>627</v>
      </c>
      <c r="L7" s="3133" t="s">
        <v>602</v>
      </c>
      <c r="M7" s="3133" t="s">
        <v>2613</v>
      </c>
      <c r="N7" s="3133" t="s">
        <v>611</v>
      </c>
      <c r="O7" s="3133" t="s">
        <v>932</v>
      </c>
      <c r="P7" s="3134" t="s">
        <v>5876</v>
      </c>
      <c r="Q7" s="3140" t="s">
        <v>5851</v>
      </c>
      <c r="R7" s="3139" t="s">
        <v>5795</v>
      </c>
      <c r="S7" s="3139"/>
      <c r="T7" s="3139"/>
      <c r="U7" s="3133" t="s">
        <v>592</v>
      </c>
      <c r="V7" s="3133" t="s">
        <v>682</v>
      </c>
      <c r="W7" s="3133" t="s">
        <v>5796</v>
      </c>
      <c r="X7" s="3133" t="s">
        <v>627</v>
      </c>
      <c r="Y7" s="3133" t="s">
        <v>602</v>
      </c>
      <c r="Z7" s="3133" t="s">
        <v>2613</v>
      </c>
      <c r="AA7" s="3133" t="s">
        <v>611</v>
      </c>
      <c r="AB7" s="3133" t="s">
        <v>932</v>
      </c>
      <c r="AC7" s="3134" t="s">
        <v>2614</v>
      </c>
      <c r="AD7" s="1806"/>
      <c r="AE7" s="1803"/>
      <c r="AF7" s="1803"/>
      <c r="AG7" s="1803"/>
    </row>
    <row r="8" spans="1:33" ht="18" customHeight="1">
      <c r="A8" s="1796"/>
      <c r="B8" s="1796"/>
      <c r="C8" s="2176" t="s">
        <v>5761</v>
      </c>
      <c r="D8" s="3138"/>
      <c r="E8" s="2177" t="s">
        <v>2662</v>
      </c>
      <c r="F8" s="2177" t="s">
        <v>2663</v>
      </c>
      <c r="G8" s="2177" t="s">
        <v>932</v>
      </c>
      <c r="H8" s="3133"/>
      <c r="I8" s="3133"/>
      <c r="J8" s="3133"/>
      <c r="K8" s="3133"/>
      <c r="L8" s="3133"/>
      <c r="M8" s="3133"/>
      <c r="N8" s="3133"/>
      <c r="O8" s="3133"/>
      <c r="P8" s="3134"/>
      <c r="Q8" s="3140"/>
      <c r="R8" s="2177" t="s">
        <v>2662</v>
      </c>
      <c r="S8" s="2177" t="s">
        <v>2663</v>
      </c>
      <c r="T8" s="2177" t="s">
        <v>932</v>
      </c>
      <c r="U8" s="3133"/>
      <c r="V8" s="3133"/>
      <c r="W8" s="3133"/>
      <c r="X8" s="3133"/>
      <c r="Y8" s="3133"/>
      <c r="Z8" s="3133"/>
      <c r="AA8" s="3133"/>
      <c r="AB8" s="3133"/>
      <c r="AC8" s="3134"/>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1000000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0</v>
      </c>
      <c r="Z9" s="2172">
        <f t="shared" si="7"/>
        <v>0</v>
      </c>
      <c r="AA9" s="2172">
        <f t="shared" si="7"/>
        <v>-7897651.2000000002</v>
      </c>
      <c r="AB9" s="2172">
        <f t="shared" si="7"/>
        <v>0</v>
      </c>
      <c r="AC9" s="2173">
        <f t="shared" ref="AC9:AC36" ca="1" si="8">SUM(Q9:U9,-V9,W9:AB9)</f>
        <v>-6897651.2000000002</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1000000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0</v>
      </c>
      <c r="Z13" s="2172">
        <f t="shared" si="10"/>
        <v>0</v>
      </c>
      <c r="AA13" s="2172">
        <f t="shared" si="10"/>
        <v>-7897651.2000000002</v>
      </c>
      <c r="AB13" s="2172">
        <f t="shared" si="10"/>
        <v>0</v>
      </c>
      <c r="AC13" s="2173">
        <f t="shared" ca="1" si="8"/>
        <v>-6897651.2000000002</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1747379.72</v>
      </c>
      <c r="O14" s="2171">
        <f t="shared" si="11"/>
        <v>0</v>
      </c>
      <c r="P14" s="2182">
        <f t="shared" si="4"/>
        <v>1747379.72</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5463681.9299999997</v>
      </c>
      <c r="AB14" s="2172">
        <f t="shared" si="12"/>
        <v>0</v>
      </c>
      <c r="AC14" s="2173">
        <f t="shared" ca="1" si="8"/>
        <v>5463681.9299999997</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1747379.72</v>
      </c>
      <c r="O15" s="2171">
        <f>IF(ISERROR(VLOOKUP(VALUE(O$2&amp;$B15),Sheet_Trialbal,6,0)),0,VLOOKUP(VALUE(O$2&amp;$B15),Sheet_Trialbal,6,0))</f>
        <v>0</v>
      </c>
      <c r="P15" s="2182">
        <f t="shared" si="4"/>
        <v>1747379.72</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5463681.9299999997</v>
      </c>
      <c r="AB15" s="2172">
        <f>IF(ISERROR(VLOOKUP(VALUE(AB$2&amp;$B15),Sheet_Trialbal,10,0)),0,VLOOKUP(VALUE(AB$2&amp;$B15),Sheet_Trialbal,10,0))</f>
        <v>0</v>
      </c>
      <c r="AC15" s="2173">
        <f t="shared" ca="1" si="8"/>
        <v>5463681.9299999997</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1747379.72</v>
      </c>
      <c r="O37" s="2183">
        <f t="shared" si="49"/>
        <v>0</v>
      </c>
      <c r="P37" s="2184">
        <f t="shared" si="49"/>
        <v>1747379.72</v>
      </c>
      <c r="Q37" s="2181">
        <f t="shared" si="49"/>
        <v>1000000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0</v>
      </c>
      <c r="Z37" s="2174">
        <f t="shared" si="49"/>
        <v>0</v>
      </c>
      <c r="AA37" s="2174">
        <f t="shared" si="49"/>
        <v>-2433969.27</v>
      </c>
      <c r="AB37" s="2174">
        <f t="shared" si="49"/>
        <v>0</v>
      </c>
      <c r="AC37" s="2175">
        <f t="shared" ca="1" si="49"/>
        <v>-1433969.27</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1433969.27</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Diff 1,433,969.27</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1000000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0</v>
      </c>
      <c r="Z45" s="1821">
        <f t="shared" si="51"/>
        <v>0</v>
      </c>
      <c r="AA45" s="1821">
        <f t="shared" si="51"/>
        <v>-2433969.27</v>
      </c>
      <c r="AB45" s="1821">
        <f t="shared" si="51"/>
        <v>0</v>
      </c>
      <c r="AC45" s="1728">
        <f t="shared" ca="1" si="51"/>
        <v>-1433969.27</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-1000000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2433969.27</v>
      </c>
      <c r="AB46" s="1824">
        <f t="shared" si="52"/>
        <v>0</v>
      </c>
      <c r="AC46" s="1731">
        <f t="shared" ca="1" si="52"/>
        <v>1433969.27</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1747379.72</v>
      </c>
      <c r="O51" s="1694">
        <f t="shared" si="54"/>
        <v>0</v>
      </c>
      <c r="P51" s="1841">
        <f t="shared" si="54"/>
        <v>1747379.72</v>
      </c>
      <c r="Q51" s="1820">
        <f t="shared" si="54"/>
        <v>1000000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0</v>
      </c>
      <c r="Z51" s="1821">
        <f t="shared" si="54"/>
        <v>0</v>
      </c>
      <c r="AA51" s="1821">
        <f t="shared" si="54"/>
        <v>-2433969.27</v>
      </c>
      <c r="AB51" s="1821">
        <f t="shared" si="54"/>
        <v>0</v>
      </c>
      <c r="AC51" s="1728">
        <f t="shared" ca="1" si="54"/>
        <v>-1433969.27</v>
      </c>
      <c r="AD51" s="1803"/>
      <c r="AE51" s="1803"/>
      <c r="AF51" s="1803"/>
      <c r="AG51" s="1803"/>
    </row>
    <row r="52" spans="1:33" ht="18">
      <c r="A52" s="2836" t="s">
        <v>2565</v>
      </c>
      <c r="B52" s="2837"/>
      <c r="C52" s="1842" t="s">
        <v>5806</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1747379.72</v>
      </c>
      <c r="O52" s="1694"/>
      <c r="P52" s="1841">
        <f>BalanceSheet!K58</f>
        <v>1747379.72</v>
      </c>
      <c r="Q52" s="1820">
        <f>BalanceSheet!L47</f>
        <v>1000000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0</v>
      </c>
      <c r="Z52" s="1821">
        <f>BalanceSheet!L56</f>
        <v>0</v>
      </c>
      <c r="AA52" s="1821">
        <f>BalanceSheet!L57</f>
        <v>-2433969.27</v>
      </c>
      <c r="AB52" s="1821"/>
      <c r="AC52" s="1728">
        <f>BalanceSheet!L58</f>
        <v>-1433969.27</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5" priority="9" stopIfTrue="1" operator="notEqual">
      <formula>0</formula>
    </cfRule>
  </conditionalFormatting>
  <conditionalFormatting sqref="C48:C49 C42">
    <cfRule type="expression" dxfId="3844"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7"/>
  <sheetViews>
    <sheetView tabSelected="1" topLeftCell="A3586" workbookViewId="0">
      <selection activeCell="H3661" sqref="H3661:J3662"/>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北京鼎竑信息技术有限公司</v>
      </c>
      <c r="I2" s="306"/>
      <c r="J2" s="321"/>
      <c r="K2" s="322"/>
      <c r="L2" s="323" t="s">
        <v>2521</v>
      </c>
      <c r="N2" s="324" t="s">
        <v>2501</v>
      </c>
      <c r="O2" s="322"/>
      <c r="P2" s="322"/>
      <c r="Q2" s="2742" t="str">
        <f ca="1">HYPERLINK("#'"&amp;$G$1&amp;"'!"&amp;ADDRESS(ROW(Notes!S12),COLUMN(Notes!S12),4),S12)</f>
        <v>操作提示：</v>
      </c>
      <c r="R2" s="322"/>
      <c r="S2" s="2740" t="s">
        <v>6583</v>
      </c>
      <c r="T2" s="2739" t="s">
        <v>6588</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6589</v>
      </c>
      <c r="Q3" s="2742" t="str">
        <f ca="1">HYPERLINK("#'"&amp;$G$1&amp;"'!"&amp;ADDRESS(ROW(Notes!S2),COLUMN(Notes!S2),4),S2)</f>
        <v>自定义标识：</v>
      </c>
      <c r="R3" s="322"/>
      <c r="S3" s="364" t="s">
        <v>6584</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139515.85</v>
      </c>
      <c r="I7" s="333">
        <f ca="1">SUMIF($J:$J,"附注列报*",$O:$O)</f>
        <v>30806749.739999998</v>
      </c>
      <c r="J7" s="334" t="s">
        <v>2729</v>
      </c>
      <c r="K7" s="335">
        <f ca="1">COUNTIF($L:$L,"#Logical!")+COUNTIF($O:$O,"#Logical!")</f>
        <v>1</v>
      </c>
      <c r="L7" s="336" t="s">
        <v>2730</v>
      </c>
      <c r="M7" s="337">
        <f>COUNTIF($D:$D,"&gt;1")</f>
        <v>0</v>
      </c>
      <c r="N7" s="338" t="s">
        <v>2731</v>
      </c>
      <c r="P7" s="337">
        <f ca="1">COUNTIF($K:$K,"请设置公式")+COUNTIF($N:$N,"请设置公式")</f>
        <v>0</v>
      </c>
      <c r="Q7" s="322"/>
      <c r="R7" s="322"/>
      <c r="S7" s="364" t="s">
        <v>6586</v>
      </c>
      <c r="T7" s="2741" t="s">
        <v>6587</v>
      </c>
      <c r="U7" s="2735"/>
      <c r="V7" s="340" t="s">
        <v>6580</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141</v>
      </c>
      <c r="Q8" s="366"/>
      <c r="R8" s="366"/>
      <c r="S8" s="364"/>
      <c r="U8" s="2736"/>
      <c r="V8" s="340" t="s">
        <v>6581</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0</v>
      </c>
      <c r="L9" s="342"/>
      <c r="M9" s="306" t="s">
        <v>2741</v>
      </c>
      <c r="N9" s="341">
        <f>VLOOKUP($A9,Sheet_Trialbal,10,0)</f>
        <v>799162.6</v>
      </c>
      <c r="O9" s="342"/>
      <c r="P9" s="301"/>
      <c r="S9" s="364"/>
      <c r="U9" s="2737"/>
      <c r="V9" s="2713" t="s">
        <v>6582</v>
      </c>
      <c r="Z9" s="609" t="s">
        <v>48</v>
      </c>
      <c r="AA9" s="609" t="s">
        <v>5649</v>
      </c>
    </row>
    <row r="10" spans="1:31" ht="18">
      <c r="A10" s="2714" t="s">
        <v>69</v>
      </c>
      <c r="B10" s="371">
        <v>1</v>
      </c>
      <c r="C10" s="371"/>
      <c r="D10" s="2716" t="str">
        <f>VLOOKUP($A10,Sheet_NoteList,2,0)</f>
        <v>货币资金明细项目</v>
      </c>
      <c r="E10" s="2716" t="s">
        <v>6531</v>
      </c>
      <c r="F10" s="294"/>
      <c r="G10" s="307" t="str">
        <f>"("&amp;B10&amp;")"&amp;D10</f>
        <v>(1)货币资金明细项目</v>
      </c>
      <c r="H10" s="1517" t="str">
        <f>$A10</f>
        <v>1015b</v>
      </c>
      <c r="I10" s="343" t="s">
        <v>5124</v>
      </c>
      <c r="J10" s="301" t="s">
        <v>5122</v>
      </c>
      <c r="K10" s="2210">
        <f>H17</f>
        <v>0</v>
      </c>
      <c r="L10" s="345" t="str">
        <f>IF($I10="适用",IF(ROUND($K$9-K10,2)=0,"F/S",ROUND($K$9-K10,2)),"#N/A")</f>
        <v>F/S</v>
      </c>
      <c r="M10" s="301" t="s">
        <v>5123</v>
      </c>
      <c r="N10" s="2210">
        <f>I17</f>
        <v>0</v>
      </c>
      <c r="O10" s="345">
        <f>IF($I10="适用",IF(ROUND($N$9-N10,2)=0,"F/S",ROUND($N$9-N10,2)),"#N/A")</f>
        <v>799162.6</v>
      </c>
      <c r="P10" s="301"/>
      <c r="Q10" s="290" t="str">
        <f>IF($I10="不适用","",IF(ROUND(SUM($H$13:$I$17),2)=0,"请输入",""))</f>
        <v>请输入</v>
      </c>
      <c r="S10" s="364"/>
      <c r="U10" s="2738"/>
      <c r="V10" s="2713" t="s">
        <v>6579</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0</v>
      </c>
      <c r="I17" s="1479">
        <f>SUMPRODUCT($E12:$E16,I12:I16)</f>
        <v>0</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6532</v>
      </c>
      <c r="F20" s="294"/>
      <c r="G20" s="307" t="str">
        <f>"("&amp;B20&amp;")"&amp;D20</f>
        <v>(2)货币资金按币种列示</v>
      </c>
      <c r="H20" s="1517" t="str">
        <f>$A20</f>
        <v>1015a</v>
      </c>
      <c r="I20" s="343" t="s">
        <v>5363</v>
      </c>
      <c r="J20" s="301" t="s">
        <v>5361</v>
      </c>
      <c r="K20" s="2210">
        <f>J57</f>
        <v>0</v>
      </c>
      <c r="L20" s="345" t="str">
        <f>IF($I20="适用",IF(ROUND(K9-K20,2)=0,"F/S",ROUND(K9-K20,2)),"#N/A")</f>
        <v>F/S</v>
      </c>
      <c r="M20" s="301" t="s">
        <v>5362</v>
      </c>
      <c r="N20" s="2210">
        <f>M57</f>
        <v>0</v>
      </c>
      <c r="O20" s="345">
        <f>IF($I20="适用",IF(ROUND(N9-N20,2)=0,"F/S",ROUND(N9-N20,2)),"#N/A")</f>
        <v>799162.6</v>
      </c>
      <c r="P20" s="301"/>
      <c r="Q20" s="290" t="str">
        <f>IF($I20="不适用","",IF(ROUND(SUM($H$25:$M$57),2)=0,"请输入",""))</f>
        <v>请输入</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195" t="s">
        <v>47</v>
      </c>
      <c r="H23" s="3193" t="str">
        <f>$V$2</f>
        <v>2019年12月31日</v>
      </c>
      <c r="I23" s="3194"/>
      <c r="J23" s="3195"/>
      <c r="K23" s="3193" t="str">
        <f>$V$3</f>
        <v>2018年12月31日</v>
      </c>
      <c r="L23" s="3194"/>
      <c r="M23" s="3194"/>
      <c r="N23" s="355" t="s">
        <v>5604</v>
      </c>
      <c r="O23" s="291"/>
      <c r="P23" s="291"/>
      <c r="Q23" s="367"/>
      <c r="R23" s="367"/>
      <c r="S23" s="364"/>
      <c r="Z23" s="609" t="s">
        <v>48</v>
      </c>
      <c r="AA23" s="609" t="s">
        <v>5649</v>
      </c>
    </row>
    <row r="24" spans="1:27" ht="18">
      <c r="A24" s="2714"/>
      <c r="B24" s="371"/>
      <c r="C24" s="371"/>
      <c r="D24" s="371"/>
      <c r="E24" s="2716" t="s">
        <v>2749</v>
      </c>
      <c r="F24" s="294"/>
      <c r="G24" s="3212"/>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c r="K35" s="309"/>
      <c r="L35" s="360"/>
      <c r="M35" s="346"/>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0</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8.75" thickBot="1">
      <c r="A57" s="2714"/>
      <c r="B57" s="371"/>
      <c r="C57" s="371"/>
      <c r="D57" s="2716">
        <f t="shared" si="2"/>
        <v>1</v>
      </c>
      <c r="E57" s="2721" t="s">
        <v>2751</v>
      </c>
      <c r="F57" s="294"/>
      <c r="G57" s="1529" t="s">
        <v>2752</v>
      </c>
      <c r="H57" s="1525"/>
      <c r="I57" s="1526" t="s">
        <v>2783</v>
      </c>
      <c r="J57" s="1527">
        <f>SUMPRODUCT($E24:$E56,J24:J56)</f>
        <v>0</v>
      </c>
      <c r="K57" s="1525"/>
      <c r="L57" s="1526"/>
      <c r="M57" s="1528">
        <f>SUMPRODUCT($E24:$E56,M24:M56)</f>
        <v>0</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6532</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6533</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6533</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6533</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45" t="s">
        <v>6001</v>
      </c>
      <c r="H123" s="3176" t="str">
        <f>$V$2</f>
        <v>2019年12月31日</v>
      </c>
      <c r="I123" s="3149"/>
      <c r="J123" s="3149"/>
      <c r="K123" s="3196" t="str">
        <f>$V$3</f>
        <v>2018年12月31日</v>
      </c>
      <c r="L123" s="3179"/>
      <c r="M123" s="3157"/>
      <c r="N123" s="355" t="s">
        <v>5269</v>
      </c>
      <c r="O123" s="349"/>
      <c r="P123" s="301"/>
      <c r="S123" s="364"/>
      <c r="Z123" s="609" t="s">
        <v>161</v>
      </c>
      <c r="AA123" s="609" t="s">
        <v>2880</v>
      </c>
    </row>
    <row r="124" spans="1:29" ht="18">
      <c r="A124" s="2714"/>
      <c r="B124" s="371"/>
      <c r="C124" s="371"/>
      <c r="D124" s="2716"/>
      <c r="E124" s="586" t="s">
        <v>2749</v>
      </c>
      <c r="F124" s="586"/>
      <c r="G124" s="3146"/>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6609</v>
      </c>
      <c r="F130" s="294"/>
      <c r="G130" s="307" t="str">
        <f>"("&amp;B130&amp;")"&amp;D130</f>
        <v>(1)应收票据分类</v>
      </c>
      <c r="H130" s="1517"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1"/>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1"/>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1"/>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45" t="s">
        <v>47</v>
      </c>
      <c r="H173" s="3176" t="str">
        <f>$V$2</f>
        <v>2019年12月31日</v>
      </c>
      <c r="I173" s="3176"/>
      <c r="J173" s="3176"/>
      <c r="K173" s="3176"/>
      <c r="L173" s="3153"/>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146"/>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45" t="s">
        <v>5136</v>
      </c>
      <c r="H195" s="3176" t="str">
        <f>$V$2</f>
        <v>2019年12月31日</v>
      </c>
      <c r="I195" s="3149"/>
      <c r="J195" s="3149"/>
      <c r="K195" s="3177"/>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146"/>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45" t="s">
        <v>5136</v>
      </c>
      <c r="H217" s="3176" t="str">
        <f>$V$2</f>
        <v>2019年12月31日</v>
      </c>
      <c r="I217" s="3149"/>
      <c r="J217" s="3177"/>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146"/>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6534</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47" t="s">
        <v>5948</v>
      </c>
      <c r="H239" s="3143" t="str">
        <f>$V$2</f>
        <v>2019年12月31日</v>
      </c>
      <c r="I239" s="3197"/>
      <c r="J239" s="3198"/>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148"/>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45" t="s">
        <v>5135</v>
      </c>
      <c r="H254" s="3176" t="str">
        <f>$V$3</f>
        <v>2018年12月31日</v>
      </c>
      <c r="I254" s="3149" t="s">
        <v>5209</v>
      </c>
      <c r="J254" s="3176" t="str">
        <f>$X$3</f>
        <v>2019年1月1日</v>
      </c>
      <c r="K254" s="3179" t="s">
        <v>2919</v>
      </c>
      <c r="L254" s="3179"/>
      <c r="M254" s="3179"/>
      <c r="N254" s="3265"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146"/>
      <c r="H255" s="3150"/>
      <c r="I255" s="3150"/>
      <c r="J255" s="3150"/>
      <c r="K255" s="2239" t="s">
        <v>5210</v>
      </c>
      <c r="L255" s="2239" t="s">
        <v>5211</v>
      </c>
      <c r="M255" s="2237" t="s">
        <v>5212</v>
      </c>
      <c r="N255" s="3158"/>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6532</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5191249.5199999996</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f>IF($I317="适用",IF(ROUND(N$316-N317,2)=0,"F/S",ROUND(N$316-N317,2)),"#N/A")</f>
        <v>5191249.5199999996</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6535</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45" t="s">
        <v>5135</v>
      </c>
      <c r="H337" s="3176" t="str">
        <f>$V$2</f>
        <v>2019年12月31日</v>
      </c>
      <c r="I337" s="3176"/>
      <c r="J337" s="3176"/>
      <c r="K337" s="3176"/>
      <c r="L337" s="3153"/>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146"/>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6355</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45" t="s">
        <v>5997</v>
      </c>
      <c r="H359" s="3176" t="str">
        <f>$V$2</f>
        <v>2019年12月31日</v>
      </c>
      <c r="I359" s="3149"/>
      <c r="J359" s="3149"/>
      <c r="K359" s="3177"/>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146"/>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45" t="s">
        <v>5137</v>
      </c>
      <c r="H381" s="3176" t="str">
        <f>$V$2</f>
        <v>2019年12月31日</v>
      </c>
      <c r="I381" s="3149"/>
      <c r="J381" s="3177"/>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146"/>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13" t="s">
        <v>5962</v>
      </c>
      <c r="H403" s="3187" t="str">
        <f>$V$2</f>
        <v>2019年12月31日</v>
      </c>
      <c r="I403" s="3178"/>
      <c r="J403" s="3188"/>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14"/>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6532</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13" t="s">
        <v>5948</v>
      </c>
      <c r="H418" s="3187" t="str">
        <f>$V$2</f>
        <v>2019年12月31日</v>
      </c>
      <c r="I418" s="3178"/>
      <c r="J418" s="3188"/>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14"/>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f>IF($I430="适用",IF(ROUND(N$316-N430,2)=0,"F/S",ROUND(N$316-N430,2)),"#N/A")</f>
        <v>5191249.5199999996</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45" t="s">
        <v>5135</v>
      </c>
      <c r="H433" s="3176" t="str">
        <f>$V$3</f>
        <v>2018年12月31日</v>
      </c>
      <c r="I433" s="3176"/>
      <c r="J433" s="3176"/>
      <c r="K433" s="3176"/>
      <c r="L433" s="3153"/>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146"/>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6534</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45" t="s">
        <v>3000</v>
      </c>
      <c r="H451" s="3176" t="str">
        <f>$V$3</f>
        <v>2018年12月31日</v>
      </c>
      <c r="I451" s="3149"/>
      <c r="J451" s="3149"/>
      <c r="K451" s="3177"/>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146"/>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6534</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45" t="s">
        <v>5998</v>
      </c>
      <c r="H471" s="3176" t="str">
        <f>$V$3</f>
        <v>2018年12月31日</v>
      </c>
      <c r="I471" s="3149"/>
      <c r="J471" s="3177"/>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146"/>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6535</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6614</v>
      </c>
      <c r="F485" s="294"/>
      <c r="G485" s="307" t="str">
        <f>"("&amp;B485&amp;")"&amp;D485</f>
        <v>(1)应收账款按种类列示</v>
      </c>
      <c r="H485" s="1517"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185" t="s">
        <v>2973</v>
      </c>
      <c r="H488" s="3181" t="str">
        <f>$V$2</f>
        <v>2019年12月31日</v>
      </c>
      <c r="I488" s="3189"/>
      <c r="J488" s="3189"/>
      <c r="K488" s="3189"/>
      <c r="L488" s="3190"/>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186"/>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6609</v>
      </c>
      <c r="F500" s="294"/>
      <c r="G500" s="372" t="str">
        <f>"("&amp;B500&amp;")"&amp;D500</f>
        <v>(1)应收账款按种类列示（续）</v>
      </c>
      <c r="H500" s="1517"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15" t="s">
        <v>2973</v>
      </c>
      <c r="H503" s="3181" t="str">
        <f>$V$3</f>
        <v>2018年12月31日</v>
      </c>
      <c r="I503" s="3189"/>
      <c r="J503" s="3189"/>
      <c r="K503" s="3189"/>
      <c r="L503" s="3190"/>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186"/>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6609</v>
      </c>
      <c r="F515" s="294"/>
      <c r="G515" s="372" t="str">
        <f>"("&amp;B515&amp;")"&amp;D515</f>
        <v>(2)期末单项金额重大并单项计提坏账准备的应收账款</v>
      </c>
      <c r="H515" s="1517"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185" t="s">
        <v>3000</v>
      </c>
      <c r="H518" s="3191" t="str">
        <f>$V$2</f>
        <v>2019年12月31日</v>
      </c>
      <c r="I518" s="3191"/>
      <c r="J518" s="3191"/>
      <c r="K518" s="3192"/>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16"/>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6609</v>
      </c>
      <c r="F535" s="294"/>
      <c r="G535" s="372" t="str">
        <f>"("&amp;B535&amp;")"&amp;D535</f>
        <v>(3)组合中按账龄分析法计提坏账准备的应收账款</v>
      </c>
      <c r="H535" s="1517"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185" t="s">
        <v>3005</v>
      </c>
      <c r="H538" s="3180" t="str">
        <f>$V$2</f>
        <v>2019年12月31日</v>
      </c>
      <c r="I538" s="3181"/>
      <c r="J538" s="3182"/>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186"/>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6623</v>
      </c>
      <c r="F559" s="294"/>
      <c r="G559" s="372" t="str">
        <f>"("&amp;B559&amp;")"&amp;D559</f>
        <v>(4)组合中采用余额百分比法计提坏账准备的应收账款</v>
      </c>
      <c r="H559" s="1517"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6614</v>
      </c>
      <c r="F569" s="294"/>
      <c r="G569" s="372" t="str">
        <f>"("&amp;B569&amp;")"&amp;D569</f>
        <v>(5)组合中采用其他方法计提坏账准备的应收账款</v>
      </c>
      <c r="H569" s="1517"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45" t="s">
        <v>5135</v>
      </c>
      <c r="H582" s="3176" t="str">
        <f>$V$3</f>
        <v>2018年12月31日</v>
      </c>
      <c r="I582" s="3149" t="s">
        <v>5209</v>
      </c>
      <c r="J582" s="3176" t="str">
        <f>$X$3</f>
        <v>2019年1月1日</v>
      </c>
      <c r="K582" s="3179" t="s">
        <v>2919</v>
      </c>
      <c r="L582" s="3179"/>
      <c r="M582" s="3179"/>
      <c r="N582" s="3265"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146"/>
      <c r="H583" s="3150"/>
      <c r="I583" s="3150"/>
      <c r="J583" s="3150"/>
      <c r="K583" s="2239" t="s">
        <v>5210</v>
      </c>
      <c r="L583" s="2239" t="s">
        <v>5211</v>
      </c>
      <c r="M583" s="2237" t="s">
        <v>5212</v>
      </c>
      <c r="N583" s="3158"/>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1"/>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6416</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6536</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1"/>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1"/>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1"/>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1"/>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6532</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6532</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6532</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147" t="s">
        <v>47</v>
      </c>
      <c r="H691" s="3183" t="str">
        <f>$V$3</f>
        <v>2018年12月31日</v>
      </c>
      <c r="I691" s="3178" t="s">
        <v>3027</v>
      </c>
      <c r="J691" s="3178"/>
      <c r="K691" s="3178" t="s">
        <v>3028</v>
      </c>
      <c r="L691" s="3178"/>
      <c r="M691" s="3178"/>
      <c r="N691" s="3270" t="str">
        <f>$V$2</f>
        <v>2019年12月31日</v>
      </c>
      <c r="O691" s="355" t="s">
        <v>6176</v>
      </c>
      <c r="P691" s="291"/>
      <c r="S691" s="364"/>
      <c r="Z691" s="609" t="s">
        <v>273</v>
      </c>
      <c r="AA691" s="609" t="s">
        <v>2935</v>
      </c>
    </row>
    <row r="692" spans="1:27" ht="18">
      <c r="A692" s="2714"/>
      <c r="B692" s="371"/>
      <c r="C692" s="371"/>
      <c r="D692" s="371"/>
      <c r="E692" s="586" t="s">
        <v>2749</v>
      </c>
      <c r="F692" s="363"/>
      <c r="G692" s="3148"/>
      <c r="H692" s="3184"/>
      <c r="I692" s="2207" t="s">
        <v>2920</v>
      </c>
      <c r="J692" s="2207" t="s">
        <v>932</v>
      </c>
      <c r="K692" s="2207" t="s">
        <v>3029</v>
      </c>
      <c r="L692" s="2207" t="s">
        <v>3030</v>
      </c>
      <c r="M692" s="2207" t="s">
        <v>932</v>
      </c>
      <c r="N692" s="3271"/>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6460</v>
      </c>
      <c r="I707" s="371" t="s">
        <v>6461</v>
      </c>
      <c r="J707" s="371" t="s">
        <v>6462</v>
      </c>
      <c r="K707" s="547" t="s">
        <v>6463</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6464</v>
      </c>
      <c r="I708" s="371" t="s">
        <v>6465</v>
      </c>
      <c r="J708" s="371" t="s">
        <v>6466</v>
      </c>
      <c r="K708" s="547" t="s">
        <v>6467</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45" t="s">
        <v>5135</v>
      </c>
      <c r="H709" s="3141" t="str">
        <f>$V$2</f>
        <v>2019年12月31日</v>
      </c>
      <c r="I709" s="3141"/>
      <c r="J709" s="3141"/>
      <c r="K709" s="3142"/>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146"/>
      <c r="H710" s="2688" t="s">
        <v>6396</v>
      </c>
      <c r="I710" s="2688" t="s">
        <v>6394</v>
      </c>
      <c r="J710" s="2688" t="s">
        <v>5145</v>
      </c>
      <c r="K710" s="2690" t="s">
        <v>6395</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6574</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6574</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6574</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45" t="s">
        <v>6397</v>
      </c>
      <c r="H724" s="3141" t="str">
        <f>$V$2</f>
        <v>2019年12月31日</v>
      </c>
      <c r="I724" s="3141"/>
      <c r="J724" s="3141"/>
      <c r="K724" s="3142"/>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146"/>
      <c r="H725" s="2688" t="s">
        <v>6398</v>
      </c>
      <c r="I725" s="2688" t="s">
        <v>6399</v>
      </c>
      <c r="J725" s="2688" t="s">
        <v>6400</v>
      </c>
      <c r="K725" s="2690" t="s">
        <v>6401</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45" t="s">
        <v>5136</v>
      </c>
      <c r="H743" s="3141" t="str">
        <f>$V$2</f>
        <v>2019年12月31日</v>
      </c>
      <c r="I743" s="3141"/>
      <c r="J743" s="3141"/>
      <c r="K743" s="3142"/>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146"/>
      <c r="H744" s="2688" t="s">
        <v>6396</v>
      </c>
      <c r="I744" s="2688" t="s">
        <v>6394</v>
      </c>
      <c r="J744" s="2688" t="s">
        <v>5145</v>
      </c>
      <c r="K744" s="2690" t="s">
        <v>6395</v>
      </c>
      <c r="L744" s="355" t="s">
        <v>6392</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6534</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47" t="s">
        <v>5948</v>
      </c>
      <c r="H765" s="3143" t="str">
        <f>$V$2</f>
        <v>2019年12月31日</v>
      </c>
      <c r="I765" s="3143"/>
      <c r="J765" s="3143"/>
      <c r="K765" s="3144"/>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148"/>
      <c r="H766" s="2693" t="s">
        <v>6396</v>
      </c>
      <c r="I766" s="2693" t="s">
        <v>6394</v>
      </c>
      <c r="J766" s="2693" t="s">
        <v>5145</v>
      </c>
      <c r="K766" s="2697" t="s">
        <v>6395</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6371</v>
      </c>
      <c r="B777" s="371">
        <v>3</v>
      </c>
      <c r="C777" s="371"/>
      <c r="D777" s="2716" t="str">
        <f>VLOOKUP($A777,Sheet_NoteList,2,0)</f>
        <v>应收款项融资——应收账款按减值计提方法分类</v>
      </c>
      <c r="E777" s="2716" t="s">
        <v>6532</v>
      </c>
      <c r="F777" s="293"/>
      <c r="G777" s="372" t="str">
        <f>"("&amp;B777&amp;")"&amp;D777</f>
        <v>(3)应收款项融资——应收账款按减值计提方法分类</v>
      </c>
      <c r="H777" s="1517" t="str">
        <f>$A777</f>
        <v>1124g</v>
      </c>
      <c r="I777" s="343" t="s">
        <v>6384</v>
      </c>
      <c r="J777" s="301" t="s">
        <v>6385</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6386</v>
      </c>
      <c r="H778" s="371" t="s">
        <v>6492</v>
      </c>
      <c r="I778" s="371" t="s">
        <v>6493</v>
      </c>
      <c r="J778" s="371" t="s">
        <v>6494</v>
      </c>
      <c r="K778" s="547" t="s">
        <v>6495</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6496</v>
      </c>
      <c r="I779" s="371" t="s">
        <v>6497</v>
      </c>
      <c r="J779" s="371" t="s">
        <v>6498</v>
      </c>
      <c r="K779" s="547" t="s">
        <v>6499</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45" t="s">
        <v>5135</v>
      </c>
      <c r="H780" s="3141" t="str">
        <f>$V$2</f>
        <v>2019年12月31日</v>
      </c>
      <c r="I780" s="3141"/>
      <c r="J780" s="3141"/>
      <c r="K780" s="3142"/>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146"/>
      <c r="H781" s="2688" t="s">
        <v>6396</v>
      </c>
      <c r="I781" s="2688" t="s">
        <v>6394</v>
      </c>
      <c r="J781" s="2688" t="s">
        <v>5145</v>
      </c>
      <c r="K781" s="2690" t="s">
        <v>6395</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6574</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6574</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6372</v>
      </c>
      <c r="B792" s="371">
        <v>3.1</v>
      </c>
      <c r="C792" s="371"/>
      <c r="D792" s="2716" t="str">
        <f>VLOOKUP($A792,Sheet_NoteList,2,0)</f>
        <v>期末按单项计提减值准备的应收款项融资——应收账款</v>
      </c>
      <c r="E792" s="2716" t="s">
        <v>6532</v>
      </c>
      <c r="F792" s="293"/>
      <c r="G792" s="372" t="str">
        <f>"("&amp;B792&amp;")"&amp;D792</f>
        <v>(3.1)期末按单项计提减值准备的应收款项融资——应收账款</v>
      </c>
      <c r="H792" s="1517" t="str">
        <f>$A792</f>
        <v>1124h</v>
      </c>
      <c r="I792" s="343" t="s">
        <v>6384</v>
      </c>
      <c r="J792" s="301" t="s">
        <v>6385</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4"/>
      <c r="B795" s="371"/>
      <c r="C795" s="371"/>
      <c r="D795" s="2716"/>
      <c r="E795" s="586" t="s">
        <v>2749</v>
      </c>
      <c r="F795" s="414"/>
      <c r="G795" s="3145" t="s">
        <v>5136</v>
      </c>
      <c r="H795" s="3141" t="str">
        <f>$V$2</f>
        <v>2019年12月31日</v>
      </c>
      <c r="I795" s="3141"/>
      <c r="J795" s="3141"/>
      <c r="K795" s="3142"/>
      <c r="L795" s="355" t="s">
        <v>5271</v>
      </c>
      <c r="M795" s="301"/>
      <c r="N795" s="391"/>
      <c r="O795" s="349"/>
      <c r="P795" s="301"/>
      <c r="S795" s="364"/>
      <c r="Z795" s="609" t="s">
        <v>448</v>
      </c>
      <c r="AA795" s="609" t="s">
        <v>3090</v>
      </c>
    </row>
    <row r="796" spans="1:29" ht="36">
      <c r="A796" s="2714"/>
      <c r="B796" s="371"/>
      <c r="C796" s="371"/>
      <c r="D796" s="2716"/>
      <c r="E796" s="586" t="s">
        <v>2749</v>
      </c>
      <c r="F796" s="414"/>
      <c r="G796" s="3146"/>
      <c r="H796" s="2688" t="s">
        <v>6396</v>
      </c>
      <c r="I796" s="2688" t="s">
        <v>6394</v>
      </c>
      <c r="J796" s="2688" t="s">
        <v>5145</v>
      </c>
      <c r="K796" s="2690" t="s">
        <v>6395</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6372</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6373</v>
      </c>
      <c r="B811" s="371">
        <v>3.2</v>
      </c>
      <c r="C811" s="371"/>
      <c r="D811" s="2716" t="str">
        <f>VLOOKUP($A811,Sheet_NoteList,2,0)</f>
        <v>期末按按组合1计提减值准备的应收款项融资——应收账款</v>
      </c>
      <c r="E811" s="2716" t="s">
        <v>6534</v>
      </c>
      <c r="F811" s="293"/>
      <c r="G811" s="372" t="str">
        <f>"("&amp;B811&amp;")"&amp;D811</f>
        <v>(3.2)期末按按组合1计提减值准备的应收款项融资——应收账款</v>
      </c>
      <c r="H811" s="1517" t="str">
        <f>$A811</f>
        <v>1124i</v>
      </c>
      <c r="I811" s="343" t="s">
        <v>6388</v>
      </c>
      <c r="J811" s="301" t="s">
        <v>6389</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4"/>
      <c r="B814" s="371"/>
      <c r="C814" s="371"/>
      <c r="D814" s="2716"/>
      <c r="E814" s="586" t="s">
        <v>2749</v>
      </c>
      <c r="F814" s="414"/>
      <c r="G814" s="3145" t="s">
        <v>5136</v>
      </c>
      <c r="H814" s="3141" t="str">
        <f>$V$2</f>
        <v>2019年12月31日</v>
      </c>
      <c r="I814" s="3141"/>
      <c r="J814" s="3141"/>
      <c r="K814" s="3142"/>
      <c r="L814" s="355" t="s">
        <v>5271</v>
      </c>
      <c r="M814" s="301"/>
      <c r="N814" s="391"/>
      <c r="O814" s="349"/>
      <c r="P814" s="301"/>
      <c r="S814" s="364"/>
      <c r="Z814" s="609" t="s">
        <v>448</v>
      </c>
      <c r="AA814" s="609" t="s">
        <v>3090</v>
      </c>
    </row>
    <row r="815" spans="1:27" ht="36">
      <c r="A815" s="2714"/>
      <c r="B815" s="371"/>
      <c r="C815" s="371"/>
      <c r="D815" s="2716"/>
      <c r="E815" s="586" t="s">
        <v>2749</v>
      </c>
      <c r="F815" s="414"/>
      <c r="G815" s="3146"/>
      <c r="H815" s="2688" t="s">
        <v>6396</v>
      </c>
      <c r="I815" s="2688" t="s">
        <v>6394</v>
      </c>
      <c r="J815" s="2688" t="s">
        <v>5145</v>
      </c>
      <c r="K815" s="2690" t="s">
        <v>6395</v>
      </c>
      <c r="L815" s="355" t="s">
        <v>6392</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6373</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6374</v>
      </c>
      <c r="B833" s="371">
        <v>3.3</v>
      </c>
      <c r="C833" s="371"/>
      <c r="D833" s="2716" t="str">
        <f>VLOOKUP($A833,Sheet_NoteList,2,0)</f>
        <v>期末按按组合2计提减值准备的应收款项融资——应收账款</v>
      </c>
      <c r="E833" s="2716" t="s">
        <v>6534</v>
      </c>
      <c r="F833" s="293"/>
      <c r="G833" s="372" t="str">
        <f>"("&amp;B833&amp;")"&amp;D833</f>
        <v>(3.3)期末按按组合2计提减值准备的应收款项融资——应收账款</v>
      </c>
      <c r="H833" s="1517" t="str">
        <f>$A833</f>
        <v>1124j</v>
      </c>
      <c r="I833" s="343" t="s">
        <v>6384</v>
      </c>
      <c r="J833" s="301" t="s">
        <v>6385</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4"/>
      <c r="B836" s="371"/>
      <c r="C836" s="371"/>
      <c r="D836" s="2716"/>
      <c r="E836" s="586" t="s">
        <v>2749</v>
      </c>
      <c r="F836" s="414"/>
      <c r="G836" s="3147" t="s">
        <v>5948</v>
      </c>
      <c r="H836" s="3143" t="str">
        <f>$V$2</f>
        <v>2019年12月31日</v>
      </c>
      <c r="I836" s="3143"/>
      <c r="J836" s="3143"/>
      <c r="K836" s="3144"/>
      <c r="L836" s="355" t="s">
        <v>5949</v>
      </c>
      <c r="M836" s="301"/>
      <c r="N836" s="391"/>
      <c r="O836" s="349"/>
      <c r="P836" s="301"/>
      <c r="S836" s="364"/>
      <c r="Z836" s="609" t="s">
        <v>448</v>
      </c>
      <c r="AA836" s="609" t="s">
        <v>3090</v>
      </c>
    </row>
    <row r="837" spans="1:27" ht="36">
      <c r="A837" s="2714"/>
      <c r="B837" s="371"/>
      <c r="C837" s="371"/>
      <c r="D837" s="2716"/>
      <c r="E837" s="586" t="s">
        <v>2749</v>
      </c>
      <c r="F837" s="414"/>
      <c r="G837" s="3148"/>
      <c r="H837" s="2693" t="s">
        <v>6396</v>
      </c>
      <c r="I837" s="2693" t="s">
        <v>6394</v>
      </c>
      <c r="J837" s="2693" t="s">
        <v>5145</v>
      </c>
      <c r="K837" s="2697" t="s">
        <v>6395</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45" t="s">
        <v>5135</v>
      </c>
      <c r="H851" s="3151" t="str">
        <f>$V$3</f>
        <v>2018年12月31日</v>
      </c>
      <c r="I851" s="3149" t="s">
        <v>5209</v>
      </c>
      <c r="J851" s="3151" t="str">
        <f>$X$3</f>
        <v>2019年1月1日</v>
      </c>
      <c r="K851" s="3179" t="s">
        <v>2919</v>
      </c>
      <c r="L851" s="3179"/>
      <c r="M851" s="3179"/>
      <c r="N851" s="3262"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146"/>
      <c r="H852" s="3152"/>
      <c r="I852" s="3150"/>
      <c r="J852" s="3152"/>
      <c r="K852" s="2239" t="s">
        <v>5210</v>
      </c>
      <c r="L852" s="2239" t="s">
        <v>5211</v>
      </c>
      <c r="M852" s="2271" t="s">
        <v>5212</v>
      </c>
      <c r="N852" s="3263"/>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10" t="s">
        <v>1439</v>
      </c>
      <c r="H862" s="3239" t="str">
        <f>$V$2</f>
        <v>2019年12月31日</v>
      </c>
      <c r="I862" s="3240"/>
      <c r="J862" s="3239" t="str">
        <f>$V$3</f>
        <v>2018年12月31日</v>
      </c>
      <c r="K862" s="3273"/>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11"/>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1"/>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6532</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81"/>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6532</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6532</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6532</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70022.3</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1"/>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70022.3</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f>IF($I988="适用",IF(ROUND(N$987-N988,2)=0,"F/S",ROUND(N$987-N988,2)),"#N/A")</f>
        <v>70022.3</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6535</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6533</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6533</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6537</v>
      </c>
      <c r="C1027" s="371"/>
      <c r="D1027" s="2716" t="str">
        <f>VLOOKUP($A1027,Sheet_NoteList,2,0)</f>
        <v>其他应收款按坏账计提方法分类披露（三阶段模型）</v>
      </c>
      <c r="E1027" s="2716" t="s">
        <v>6532</v>
      </c>
      <c r="F1027" s="293"/>
      <c r="G1027" s="372" t="str">
        <f>"("&amp;B1027&amp;")"&amp;D1027</f>
        <v>(3A)其他应收款按坏账计提方法分类披露（三阶段模型）</v>
      </c>
      <c r="H1027" s="2315">
        <f>$A1027</f>
        <v>122100</v>
      </c>
      <c r="I1027" s="343" t="s">
        <v>5923</v>
      </c>
      <c r="J1027" s="301" t="s">
        <v>5924</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6356</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6538</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6574</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6533</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6539</v>
      </c>
      <c r="C1057" s="371"/>
      <c r="D1057" s="2716" t="str">
        <f>VLOOKUP($A1057,Sheet_NoteList,2,0)</f>
        <v>期末按单项计提坏账准备的其他应收款（第一阶段）</v>
      </c>
      <c r="E1057" s="2716" t="s">
        <v>6532</v>
      </c>
      <c r="F1057" s="293"/>
      <c r="G1057" s="372" t="str">
        <f>"("&amp;B1057&amp;")"&amp;D1057</f>
        <v>(3A1.1)期末按单项计提坏账准备的其他应收款（第一阶段）</v>
      </c>
      <c r="H1057" s="2315">
        <f>$A1057</f>
        <v>122111</v>
      </c>
      <c r="I1057" s="343" t="s">
        <v>5469</v>
      </c>
      <c r="J1057" s="301" t="s">
        <v>5470</v>
      </c>
      <c r="K1057" s="2210">
        <f>H1070</f>
        <v>0</v>
      </c>
      <c r="L1057" s="349" t="str">
        <f>IF($I1057="适用",IF(ROUND(K$987-K1057,2)=0,"F/S",ROUND(K$987-K1057,2)),"#N/A")</f>
        <v>F/S</v>
      </c>
      <c r="M1057" s="301" t="s">
        <v>5471</v>
      </c>
      <c r="N1057" s="2210">
        <f>I1070</f>
        <v>0</v>
      </c>
      <c r="O1057" s="349">
        <f>IF($I1057="适用",IF(ROUND(N$987-N1057,2)=0,"F/S",ROUND(N$987-N1057,2)),"#N/A")</f>
        <v>70022.3</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45" t="s">
        <v>5136</v>
      </c>
      <c r="H1060" s="3153" t="str">
        <f>$V$2</f>
        <v>2019年12月31日</v>
      </c>
      <c r="I1060" s="3154"/>
      <c r="J1060" s="3154"/>
      <c r="K1060" s="3154"/>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146"/>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6540</v>
      </c>
      <c r="C1079" s="371"/>
      <c r="D1079" s="2716" t="str">
        <f>VLOOKUP($A1079,Sheet_NoteList,2,0)</f>
        <v>期末按组合1计提坏账准备的其他应收款（第一阶段）</v>
      </c>
      <c r="E1079" s="2716" t="s">
        <v>6534</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45" t="s">
        <v>5137</v>
      </c>
      <c r="H1082" s="3153" t="str">
        <f>$V$2</f>
        <v>2019年12月31日</v>
      </c>
      <c r="I1082" s="3154"/>
      <c r="J1082" s="3154"/>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146"/>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6541</v>
      </c>
      <c r="C1101" s="371"/>
      <c r="D1101" s="2716" t="str">
        <f>VLOOKUP($A1101,Sheet_NoteList,2,0)</f>
        <v>期末按组合2计提坏账准备的其他应收款（第一阶段）</v>
      </c>
      <c r="E1101" s="2716" t="s">
        <v>6534</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47" t="s">
        <v>5948</v>
      </c>
      <c r="H1104" s="3155" t="str">
        <f>$V$2</f>
        <v>2019年12月31日</v>
      </c>
      <c r="I1104" s="3156"/>
      <c r="J1104" s="3156"/>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148"/>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6542</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47" t="s">
        <v>5948</v>
      </c>
      <c r="H1119" s="3155" t="str">
        <f>$V$2</f>
        <v>2019年12月31日</v>
      </c>
      <c r="I1119" s="3156"/>
      <c r="J1119" s="3156"/>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148"/>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6533</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6543</v>
      </c>
      <c r="C1131" s="371"/>
      <c r="D1131" s="2716" t="str">
        <f>VLOOKUP($A1131,Sheet_NoteList,2,0)</f>
        <v>期末处于第二阶段的其他应收款坏账准备（三阶段模型）</v>
      </c>
      <c r="E1131" s="2716" t="s">
        <v>6532</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6533</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6544</v>
      </c>
      <c r="C1145" s="371"/>
      <c r="D1145" s="2716" t="str">
        <f>VLOOKUP($A1145,Sheet_NoteList,2,0)</f>
        <v>期末按单项计提坏账准备的其他应收款（第二阶段）</v>
      </c>
      <c r="E1145" s="2716" t="s">
        <v>6532</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45" t="s">
        <v>5136</v>
      </c>
      <c r="H1148" s="3153" t="str">
        <f>$V$2</f>
        <v>2019年12月31日</v>
      </c>
      <c r="I1148" s="3154"/>
      <c r="J1148" s="3154"/>
      <c r="K1148" s="3154"/>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146"/>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6545</v>
      </c>
      <c r="C1167" s="371"/>
      <c r="D1167" s="2716" t="str">
        <f>VLOOKUP($A1167,Sheet_NoteList,2,0)</f>
        <v>期末按组合1计提坏账准备的其他应收款（第二阶段）</v>
      </c>
      <c r="E1167" s="2716" t="s">
        <v>6534</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45" t="s">
        <v>5137</v>
      </c>
      <c r="H1170" s="3153" t="str">
        <f>$V$2</f>
        <v>2019年12月31日</v>
      </c>
      <c r="I1170" s="3154"/>
      <c r="J1170" s="3154"/>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146"/>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6546</v>
      </c>
      <c r="C1189" s="371"/>
      <c r="D1189" s="2716" t="str">
        <f>VLOOKUP($A1189,Sheet_NoteList,2,0)</f>
        <v>期末按组合2计提坏账准备的其他应收款（第二阶段）</v>
      </c>
      <c r="E1189" s="2716" t="s">
        <v>6534</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47" t="s">
        <v>5948</v>
      </c>
      <c r="H1192" s="3155" t="str">
        <f>$V$2</f>
        <v>2019年12月31日</v>
      </c>
      <c r="I1192" s="3156"/>
      <c r="J1192" s="3156"/>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148"/>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6547</v>
      </c>
      <c r="C1204" s="371"/>
      <c r="D1204" s="2716" t="str">
        <f>VLOOKUP($A1204,Sheet_NoteList,2,0)</f>
        <v>期末按组合3计提坏账准备的其他应收款（第二阶段）</v>
      </c>
      <c r="E1204" s="2716" t="s">
        <v>6532</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47" t="s">
        <v>5948</v>
      </c>
      <c r="H1207" s="3155" t="str">
        <f>$V$2</f>
        <v>2019年12月31日</v>
      </c>
      <c r="I1207" s="3156"/>
      <c r="J1207" s="3156"/>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148"/>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6548</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6574</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6533</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6549</v>
      </c>
      <c r="C1233" s="371"/>
      <c r="D1233" s="2716" t="str">
        <f>VLOOKUP($A1233,Sheet_NoteList,2,0)</f>
        <v>期末按单项计提坏账准备的其他应收款（第三阶段）</v>
      </c>
      <c r="E1233" s="2716" t="s">
        <v>6532</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45" t="s">
        <v>6003</v>
      </c>
      <c r="H1236" s="3153" t="str">
        <f>$V$2</f>
        <v>2019年12月31日</v>
      </c>
      <c r="I1236" s="3154"/>
      <c r="J1236" s="3154"/>
      <c r="K1236" s="3154"/>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146"/>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6550</v>
      </c>
      <c r="C1255" s="371"/>
      <c r="D1255" s="2716" t="str">
        <f>VLOOKUP($A1255,Sheet_NoteList,2,0)</f>
        <v>期末按组合1计提坏账准备的其他应收款（第三阶段）</v>
      </c>
      <c r="E1255" s="2716" t="s">
        <v>6534</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45" t="s">
        <v>5137</v>
      </c>
      <c r="H1258" s="3153" t="str">
        <f>$V$2</f>
        <v>2019年12月31日</v>
      </c>
      <c r="I1258" s="3154"/>
      <c r="J1258" s="3154"/>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146"/>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6551</v>
      </c>
      <c r="C1277" s="371"/>
      <c r="D1277" s="2716" t="str">
        <f>VLOOKUP($A1277,Sheet_NoteList,2,0)</f>
        <v>期末按组合2计提坏账准备的其他应收款（第三阶段）</v>
      </c>
      <c r="E1277" s="2716" t="s">
        <v>6534</v>
      </c>
      <c r="F1277" s="293"/>
      <c r="G1277" s="372" t="str">
        <f>"("&amp;B1277&amp;")"&amp;D1277</f>
        <v>(3A3.3)期末按组合2计提坏账准备的其他应收款（第三阶段）</v>
      </c>
      <c r="H1277" s="2315">
        <f>$A1277</f>
        <v>122133</v>
      </c>
      <c r="I1277" s="343" t="s">
        <v>5934</v>
      </c>
      <c r="J1277" s="301" t="s">
        <v>5935</v>
      </c>
      <c r="K1277" s="2210">
        <f>H1290</f>
        <v>0</v>
      </c>
      <c r="L1277" s="349" t="str">
        <f>IF($I1277="适用",IF(ROUND(K$987-K1277,2)=0,"F/S",ROUND(K$987-K1277,2)),"#N/A")</f>
        <v>F/S</v>
      </c>
      <c r="M1277" s="301" t="s">
        <v>5936</v>
      </c>
      <c r="N1277" s="2210">
        <f>I1290</f>
        <v>0</v>
      </c>
      <c r="O1277" s="349">
        <f>IF($I1277="适用",IF(ROUND(N$987-N1277,2)=0,"F/S",ROUND(N$987-N1277,2)),"#N/A")</f>
        <v>70022.3</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47" t="s">
        <v>5948</v>
      </c>
      <c r="H1280" s="3155" t="str">
        <f>$V$2</f>
        <v>2019年12月31日</v>
      </c>
      <c r="I1280" s="3156"/>
      <c r="J1280" s="3156"/>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148"/>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6552</v>
      </c>
      <c r="C1292" s="371"/>
      <c r="D1292" s="2716" t="str">
        <f>VLOOKUP($A1292,Sheet_NoteList,2,0)</f>
        <v>期末按组合3计提坏账准备的其他应收款（第三阶段）</v>
      </c>
      <c r="E1292" s="2716" t="s">
        <v>6532</v>
      </c>
      <c r="F1292" s="293"/>
      <c r="G1292" s="372" t="str">
        <f>"("&amp;B1292&amp;")"&amp;D1292</f>
        <v>(3A3.4)期末按组合3计提坏账准备的其他应收款（第三阶段）</v>
      </c>
      <c r="H1292" s="2315">
        <f>$A1292</f>
        <v>122134</v>
      </c>
      <c r="I1292" s="343" t="s">
        <v>5934</v>
      </c>
      <c r="J1292" s="301" t="s">
        <v>5935</v>
      </c>
      <c r="K1292" s="2210">
        <f>H1305</f>
        <v>0</v>
      </c>
      <c r="L1292" s="349" t="str">
        <f>IF($I1292="适用",IF(ROUND(K$987-K1292,2)=0,"F/S",ROUND(K$987-K1292,2)),"#N/A")</f>
        <v>F/S</v>
      </c>
      <c r="M1292" s="301" t="s">
        <v>5936</v>
      </c>
      <c r="N1292" s="2210">
        <f>I1305</f>
        <v>0</v>
      </c>
      <c r="O1292" s="349">
        <f>IF($I1292="适用",IF(ROUND(N$987-N1292,2)=0,"F/S",ROUND(N$987-N1292,2)),"#N/A")</f>
        <v>70022.3</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47" t="s">
        <v>5948</v>
      </c>
      <c r="H1295" s="3155" t="str">
        <f>$V$2</f>
        <v>2019年12月31日</v>
      </c>
      <c r="I1295" s="3156"/>
      <c r="J1295" s="3156"/>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148"/>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6553</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70022.3</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45" t="s">
        <v>6004</v>
      </c>
      <c r="H1310" s="3153" t="str">
        <f>$V$3</f>
        <v>2018年12月31日</v>
      </c>
      <c r="I1310" s="3154"/>
      <c r="J1310" s="3154"/>
      <c r="K1310" s="3154"/>
      <c r="L1310" s="3154"/>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146"/>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6554</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45" t="s">
        <v>3161</v>
      </c>
      <c r="H1329" s="3153" t="str">
        <f>$V$3</f>
        <v>2018年12月31日</v>
      </c>
      <c r="I1329" s="3154"/>
      <c r="J1329" s="3154"/>
      <c r="K1329" s="3154"/>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146"/>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6555</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45" t="s">
        <v>6008</v>
      </c>
      <c r="H1351" s="3153" t="str">
        <f>$V$3</f>
        <v>2018年12月31日</v>
      </c>
      <c r="I1351" s="3154"/>
      <c r="J1351" s="3154"/>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146"/>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6535</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6533</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6609</v>
      </c>
      <c r="F1365" s="294"/>
      <c r="G1365" s="307" t="str">
        <f>"("&amp;B1365&amp;")"&amp;D1365</f>
        <v>(1)其他应收款按种类列示</v>
      </c>
      <c r="H1365" s="1517"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15" t="s">
        <v>2973</v>
      </c>
      <c r="H1368" s="3274" t="s">
        <v>2775</v>
      </c>
      <c r="I1368" s="3189"/>
      <c r="J1368" s="3189"/>
      <c r="K1368" s="3189"/>
      <c r="L1368" s="3190"/>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186"/>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6609</v>
      </c>
      <c r="F1387" s="294"/>
      <c r="G1387" s="372" t="str">
        <f>"("&amp;B1387&amp;")"&amp;D1387</f>
        <v>(3)其他应收款按种类列示（续）</v>
      </c>
      <c r="H1387" s="1517"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15" t="s">
        <v>2973</v>
      </c>
      <c r="H1390" s="3274" t="s">
        <v>2776</v>
      </c>
      <c r="I1390" s="3189"/>
      <c r="J1390" s="3189"/>
      <c r="K1390" s="3189"/>
      <c r="L1390" s="3190"/>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186"/>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6609</v>
      </c>
      <c r="F1409" s="294"/>
      <c r="G1409" s="372" t="str">
        <f>"("&amp;B1409&amp;")"&amp;D1409</f>
        <v>(4)期末单项金额重大并单项计提坏账准备的其他应收款</v>
      </c>
      <c r="H1409" s="1517"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17" t="s">
        <v>5479</v>
      </c>
      <c r="H1412" s="3168" t="s">
        <v>5478</v>
      </c>
      <c r="I1412" s="3168"/>
      <c r="J1412" s="3168"/>
      <c r="K1412" s="3169"/>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16"/>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6609</v>
      </c>
      <c r="F1428" s="294"/>
      <c r="G1428" s="372" t="str">
        <f>"("&amp;B1428&amp;")"&amp;D1428</f>
        <v>(5)组合中按账龄分析法计提坏账准备的其他应收款</v>
      </c>
      <c r="H1428" s="1517"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159" t="s">
        <v>6418</v>
      </c>
      <c r="H1431" s="3168" t="s">
        <v>2775</v>
      </c>
      <c r="I1431" s="3168"/>
      <c r="J1431" s="3168"/>
      <c r="K1431" s="3168"/>
      <c r="L1431" s="3169"/>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160"/>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6417</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6623</v>
      </c>
      <c r="F1449" s="294"/>
      <c r="G1449" s="372" t="str">
        <f>"("&amp;B1449&amp;")"&amp;D1449</f>
        <v>(6)组合中采用余额百分比法计提坏账准备的其他应收款</v>
      </c>
      <c r="H1449" s="1517"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6614</v>
      </c>
      <c r="F1459" s="294"/>
      <c r="G1459" s="372" t="str">
        <f>"("&amp;B1459&amp;")"&amp;D1459</f>
        <v>(7)组合中采用其他方法计提坏账准备的其他应收款</v>
      </c>
      <c r="H1459" s="1517"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45" t="s">
        <v>6009</v>
      </c>
      <c r="H1472" s="3151" t="str">
        <f>$V$3</f>
        <v>2018年12月31日</v>
      </c>
      <c r="I1472" s="3149" t="s">
        <v>6010</v>
      </c>
      <c r="J1472" s="3151" t="str">
        <f>$X$3</f>
        <v>2019年1月1日</v>
      </c>
      <c r="K1472" s="3179" t="s">
        <v>2919</v>
      </c>
      <c r="L1472" s="3179"/>
      <c r="M1472" s="3179"/>
      <c r="N1472" s="3262"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146"/>
      <c r="H1473" s="3152"/>
      <c r="I1473" s="3150"/>
      <c r="J1473" s="3152"/>
      <c r="K1473" s="2239" t="s">
        <v>6011</v>
      </c>
      <c r="L1473" s="2239" t="s">
        <v>6012</v>
      </c>
      <c r="M1473" s="2294" t="s">
        <v>6013</v>
      </c>
      <c r="N1473" s="3263"/>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6534</v>
      </c>
      <c r="F1491" s="293"/>
      <c r="G1491" s="372" t="str">
        <f>"("&amp;B1491&amp;")"&amp;D1491</f>
        <v>(4)本期其他应收款坏账准备的变动情况（备选格式）</v>
      </c>
      <c r="H1491" s="2315">
        <f>$A1491</f>
        <v>122104</v>
      </c>
      <c r="I1491" s="343" t="s">
        <v>5626</v>
      </c>
      <c r="J1491" s="301" t="s">
        <v>5627</v>
      </c>
      <c r="K1491" s="2210">
        <f>H1508</f>
        <v>0</v>
      </c>
      <c r="L1491" s="349" t="str">
        <f>IF($I1491="适用",IF(ROUND(K$987-K1491,2)=0,"F/S",ROUND(K$987-K1491,2)),"#N/A")</f>
        <v>F/S</v>
      </c>
      <c r="M1491" s="301" t="s">
        <v>5628</v>
      </c>
      <c r="N1491" s="2210">
        <f>I1508</f>
        <v>0</v>
      </c>
      <c r="O1491" s="349">
        <f>IF($I1491="适用",IF(ROUND(N$987-N1491,2)=0,"F/S",ROUND(N$987-N1491,2)),"#N/A")</f>
        <v>70022.3</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61" t="s">
        <v>5854</v>
      </c>
      <c r="H1494" s="2291" t="s">
        <v>3348</v>
      </c>
      <c r="I1494" s="2291" t="s">
        <v>3349</v>
      </c>
      <c r="J1494" s="2291" t="s">
        <v>3350</v>
      </c>
      <c r="K1494" s="3157"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162"/>
      <c r="H1495" s="2294" t="s">
        <v>3352</v>
      </c>
      <c r="I1495" s="2294" t="s">
        <v>3353</v>
      </c>
      <c r="J1495" s="2294" t="s">
        <v>3354</v>
      </c>
      <c r="K1495" s="3158"/>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6556</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1"/>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f>IF($I1520="适用",IF(ROUND(N$987-N1520,2)=0,"F/S",ROUND(N$987-N1520,2)),"#N/A")</f>
        <v>70022.3</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1"/>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1"/>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1"/>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1"/>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1"/>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6532</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6532</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6532</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147" t="s">
        <v>47</v>
      </c>
      <c r="H1610" s="3178" t="s">
        <v>2776</v>
      </c>
      <c r="I1610" s="3178" t="s">
        <v>3027</v>
      </c>
      <c r="J1610" s="3178"/>
      <c r="K1610" s="3178" t="s">
        <v>3028</v>
      </c>
      <c r="L1610" s="3178"/>
      <c r="M1610" s="3178"/>
      <c r="N1610" s="3188" t="s">
        <v>2775</v>
      </c>
      <c r="O1610" s="355" t="s">
        <v>6176</v>
      </c>
      <c r="P1610" s="291"/>
      <c r="S1610" s="364"/>
      <c r="Z1610" s="609" t="s">
        <v>540</v>
      </c>
      <c r="AA1610" s="609" t="s">
        <v>3137</v>
      </c>
    </row>
    <row r="1611" spans="1:27" ht="18">
      <c r="A1611" s="2714"/>
      <c r="B1611" s="371"/>
      <c r="C1611" s="371"/>
      <c r="D1611" s="371"/>
      <c r="E1611" s="586" t="s">
        <v>2749</v>
      </c>
      <c r="F1611" s="363"/>
      <c r="G1611" s="3148"/>
      <c r="H1611" s="3275"/>
      <c r="I1611" s="2295" t="s">
        <v>2920</v>
      </c>
      <c r="J1611" s="2295" t="s">
        <v>932</v>
      </c>
      <c r="K1611" s="2295" t="s">
        <v>3029</v>
      </c>
      <c r="L1611" s="2295" t="s">
        <v>3030</v>
      </c>
      <c r="M1611" s="2295" t="s">
        <v>932</v>
      </c>
      <c r="N1611" s="3272"/>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170" t="s">
        <v>3216</v>
      </c>
      <c r="H1620" s="3231" t="str">
        <f>$V$2</f>
        <v>2019年12月31日</v>
      </c>
      <c r="I1620" s="3245"/>
      <c r="J1620" s="3232"/>
      <c r="K1620" s="3231" t="str">
        <f>$V$3</f>
        <v>2018年12月31日</v>
      </c>
      <c r="L1620" s="3245"/>
      <c r="M1620" s="3245"/>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171"/>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1"/>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170" t="s">
        <v>3216</v>
      </c>
      <c r="H1639" s="3246" t="str">
        <f>$V$3</f>
        <v>2018年12月31日</v>
      </c>
      <c r="I1639" s="3202" t="s">
        <v>5354</v>
      </c>
      <c r="J1639" s="3202"/>
      <c r="K1639" s="3202" t="s">
        <v>5355</v>
      </c>
      <c r="L1639" s="3202"/>
      <c r="M1639" s="3220"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171"/>
      <c r="H1640" s="3247"/>
      <c r="I1640" s="2283" t="s">
        <v>2920</v>
      </c>
      <c r="J1640" s="2283" t="s">
        <v>932</v>
      </c>
      <c r="K1640" s="2283" t="s">
        <v>3223</v>
      </c>
      <c r="L1640" s="2283" t="s">
        <v>932</v>
      </c>
      <c r="M1640" s="3221"/>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HYPERLINK("#'"&amp;$G$1&amp;"'!"&amp;ADDRESS(ROW(Notes!L4882),COLUMN(Notes!L4882),4),"*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6532</v>
      </c>
      <c r="F1655" s="294"/>
      <c r="G1655" s="372" t="str">
        <f>"("&amp;B1655&amp;")"&amp;D1655</f>
        <v>(3)存货期末余额中含有借款费用资本化金额的说明</v>
      </c>
      <c r="H1655" s="1517" t="str">
        <f>$A1655</f>
        <v>1400t</v>
      </c>
      <c r="I1655" s="343" t="s">
        <v>5972</v>
      </c>
      <c r="J1655" s="301"/>
      <c r="K1655" s="3081"/>
      <c r="L1655" s="315"/>
      <c r="M1655" s="301"/>
      <c r="N1655" s="3081"/>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1"/>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6534</v>
      </c>
      <c r="F1682" s="294"/>
      <c r="G1682" s="307" t="str">
        <f>"("&amp;B1682&amp;")"&amp;D1682</f>
        <v>(5)开发成本</v>
      </c>
      <c r="H1682" s="1517" t="str">
        <f>$A1682</f>
        <v>1400d</v>
      </c>
      <c r="I1682" s="343" t="s">
        <v>5966</v>
      </c>
      <c r="J1682" s="301"/>
      <c r="K1682" s="3081"/>
      <c r="L1682" s="315"/>
      <c r="M1682" s="301"/>
      <c r="N1682" s="3081"/>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6534</v>
      </c>
      <c r="F1699" s="294"/>
      <c r="G1699" s="307" t="str">
        <f>"("&amp;B1699&amp;")"&amp;D1699</f>
        <v>(6)开发产品</v>
      </c>
      <c r="H1699" s="1517" t="str">
        <f>$A1699</f>
        <v>1400e</v>
      </c>
      <c r="I1699" s="343" t="s">
        <v>5966</v>
      </c>
      <c r="J1699" s="301"/>
      <c r="K1699" s="3081"/>
      <c r="L1699" s="315"/>
      <c r="M1699" s="301"/>
      <c r="N1699" s="3081"/>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6534</v>
      </c>
      <c r="F1716" s="294"/>
      <c r="G1716" s="307" t="str">
        <f>"("&amp;B1716&amp;")"&amp;D1716</f>
        <v>(7)周转房</v>
      </c>
      <c r="H1716" s="1517" t="str">
        <f>$A1716</f>
        <v>1400g</v>
      </c>
      <c r="I1716" s="343" t="s">
        <v>5965</v>
      </c>
      <c r="J1716" s="301"/>
      <c r="K1716" s="3081"/>
      <c r="L1716" s="315"/>
      <c r="M1716" s="301"/>
      <c r="N1716" s="3081"/>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6532</v>
      </c>
      <c r="F1726" s="294"/>
      <c r="G1726" s="307" t="str">
        <f>"("&amp;B1726&amp;")"&amp;D1726</f>
        <v>(8)期末用于债务担保的存货</v>
      </c>
      <c r="H1726" s="1517" t="str">
        <f>$A1726</f>
        <v>1400s</v>
      </c>
      <c r="I1726" s="343" t="s">
        <v>5966</v>
      </c>
      <c r="J1726" s="301"/>
      <c r="K1726" s="3081"/>
      <c r="L1726" s="315"/>
      <c r="M1726" s="301"/>
      <c r="N1726" s="3081"/>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6532</v>
      </c>
      <c r="F1736" s="294"/>
      <c r="G1736" s="372" t="str">
        <f>"("&amp;B1736&amp;")"&amp;D1736</f>
        <v>(9)存货跌价准备计提依据与转回情况</v>
      </c>
      <c r="H1736" s="1517" t="str">
        <f>$A1736</f>
        <v>1400c</v>
      </c>
      <c r="I1736" s="343" t="s">
        <v>5965</v>
      </c>
      <c r="J1736" s="301"/>
      <c r="K1736" s="3081"/>
      <c r="L1736" s="315"/>
      <c r="M1736" s="301"/>
      <c r="N1736" s="3081"/>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6532</v>
      </c>
      <c r="F1753" s="294"/>
      <c r="G1753" s="372" t="str">
        <f>"("&amp;B1753&amp;")"&amp;D1753</f>
        <v>(10)存货补充资料</v>
      </c>
      <c r="H1753" s="1517" t="str">
        <f>$A1753</f>
        <v>1400x</v>
      </c>
      <c r="I1753" s="343" t="s">
        <v>5966</v>
      </c>
      <c r="J1753" s="301"/>
      <c r="K1753" s="391"/>
      <c r="L1753" s="315"/>
      <c r="M1753" s="301"/>
      <c r="N1753" s="3081"/>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6532</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45" t="s">
        <v>47</v>
      </c>
      <c r="H1777" s="3151" t="str">
        <f>$V$3</f>
        <v>2018年12月31日</v>
      </c>
      <c r="I1777" s="3149" t="s">
        <v>3027</v>
      </c>
      <c r="J1777" s="3149" t="s">
        <v>3028</v>
      </c>
      <c r="K1777" s="3149"/>
      <c r="L1777" s="3262"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146"/>
      <c r="H1778" s="3152"/>
      <c r="I1778" s="3150"/>
      <c r="J1778" s="2294" t="s">
        <v>3299</v>
      </c>
      <c r="K1778" s="2239" t="s">
        <v>6132</v>
      </c>
      <c r="L1778" s="3263"/>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HYPERLINK("#'"&amp;$G$1&amp;"'!"&amp;ADDRESS(ROW(Notes!L4894),COLUMN(Notes!L4894),4),"*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72" t="s">
        <v>5486</v>
      </c>
      <c r="H1802" s="3153" t="str">
        <f>$V$2</f>
        <v>2019年12月31日</v>
      </c>
      <c r="I1802" s="3154"/>
      <c r="J1802" s="3154"/>
      <c r="K1802" s="3264"/>
      <c r="L1802" s="3265" t="str">
        <f>$V$3</f>
        <v>2018年12月31日</v>
      </c>
      <c r="M1802" s="3266"/>
      <c r="N1802" s="3266"/>
      <c r="O1802" s="3266"/>
      <c r="P1802" s="355" t="s">
        <v>5276</v>
      </c>
      <c r="Q1802" s="442"/>
      <c r="R1802" s="443"/>
      <c r="S1802" s="364"/>
      <c r="Z1802" s="609" t="s">
        <v>749</v>
      </c>
      <c r="AA1802" s="609" t="s">
        <v>3305</v>
      </c>
    </row>
    <row r="1803" spans="1:27" ht="18">
      <c r="A1803" s="2714"/>
      <c r="B1803" s="371"/>
      <c r="C1803" s="371"/>
      <c r="D1803" s="2716"/>
      <c r="E1803" s="2716" t="s">
        <v>2749</v>
      </c>
      <c r="F1803" s="293"/>
      <c r="G1803" s="3173"/>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61" t="s">
        <v>47</v>
      </c>
      <c r="H1826" s="3153" t="str">
        <f>$V$2</f>
        <v>2019年12月31日</v>
      </c>
      <c r="I1826" s="3154"/>
      <c r="J1826" s="3264"/>
      <c r="K1826" s="3265" t="str">
        <f>$V$3</f>
        <v>2018年12月31日</v>
      </c>
      <c r="L1826" s="3266"/>
      <c r="M1826" s="3266"/>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162"/>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61" t="s">
        <v>5134</v>
      </c>
      <c r="H1841" s="3153" t="str">
        <f>$V$2</f>
        <v>2019年12月31日</v>
      </c>
      <c r="I1841" s="3154"/>
      <c r="J1841" s="3154"/>
      <c r="K1841" s="3264"/>
      <c r="L1841" s="3265" t="str">
        <f>$V$3</f>
        <v>2018年12月31日</v>
      </c>
      <c r="M1841" s="3266"/>
      <c r="N1841" s="3266"/>
      <c r="O1841" s="3266"/>
      <c r="P1841" s="355" t="s">
        <v>5278</v>
      </c>
      <c r="Q1841" s="442"/>
      <c r="R1841" s="443"/>
      <c r="S1841" s="364"/>
      <c r="Z1841" s="609" t="s">
        <v>764</v>
      </c>
      <c r="AA1841" s="609" t="s">
        <v>3326</v>
      </c>
    </row>
    <row r="1842" spans="1:27" ht="18">
      <c r="A1842" s="2714"/>
      <c r="B1842" s="371"/>
      <c r="C1842" s="371"/>
      <c r="D1842" s="2716"/>
      <c r="E1842" s="2716" t="s">
        <v>2749</v>
      </c>
      <c r="F1842" s="293"/>
      <c r="G1842" s="3162"/>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45" t="s">
        <v>6015</v>
      </c>
      <c r="H1911" s="3151" t="str">
        <f>$V$3</f>
        <v>2018年12月31日</v>
      </c>
      <c r="I1911" s="3149" t="s">
        <v>6016</v>
      </c>
      <c r="J1911" s="3151" t="str">
        <f>$X$3</f>
        <v>2019年1月1日</v>
      </c>
      <c r="K1911" s="3179" t="s">
        <v>2919</v>
      </c>
      <c r="L1911" s="3179"/>
      <c r="M1911" s="3179"/>
      <c r="N1911" s="3262"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146"/>
      <c r="H1912" s="3152"/>
      <c r="I1912" s="3150"/>
      <c r="J1912" s="3152"/>
      <c r="K1912" s="2239" t="s">
        <v>6017</v>
      </c>
      <c r="L1912" s="2239" t="s">
        <v>6018</v>
      </c>
      <c r="M1912" s="2294" t="s">
        <v>6019</v>
      </c>
      <c r="N1912" s="3263"/>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45" t="s">
        <v>3097</v>
      </c>
      <c r="H1930" s="2291" t="s">
        <v>3348</v>
      </c>
      <c r="I1930" s="2291" t="s">
        <v>3349</v>
      </c>
      <c r="J1930" s="2291" t="s">
        <v>3350</v>
      </c>
      <c r="K1930" s="3157"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146"/>
      <c r="H1931" s="2294" t="s">
        <v>3352</v>
      </c>
      <c r="I1931" s="2294" t="s">
        <v>3353</v>
      </c>
      <c r="J1931" s="2294" t="s">
        <v>3354</v>
      </c>
      <c r="K1931" s="3158"/>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6556</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74" t="s">
        <v>47</v>
      </c>
      <c r="H1950" s="3259" t="str">
        <f>$V$2</f>
        <v>2019年12月31日</v>
      </c>
      <c r="I1950" s="3244"/>
      <c r="J1950" s="3260"/>
      <c r="K1950" s="3243" t="str">
        <f>$V$3</f>
        <v>2018年12月31日</v>
      </c>
      <c r="L1950" s="3244"/>
      <c r="M1950" s="3244"/>
      <c r="N1950" s="355" t="s">
        <v>5279</v>
      </c>
      <c r="S1950" s="364"/>
      <c r="Z1950" s="609" t="s">
        <v>806</v>
      </c>
      <c r="AA1950" s="609" t="s">
        <v>3380</v>
      </c>
    </row>
    <row r="1951" spans="1:27" ht="18">
      <c r="A1951" s="2714"/>
      <c r="B1951" s="371"/>
      <c r="C1951" s="371"/>
      <c r="D1951" s="371"/>
      <c r="E1951" s="2716" t="s">
        <v>2749</v>
      </c>
      <c r="F1951" s="294"/>
      <c r="G1951" s="3175"/>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6532</v>
      </c>
      <c r="F1961" s="294"/>
      <c r="G1961" s="372" t="str">
        <f>"("&amp;B1961&amp;")"&amp;D1961</f>
        <v>(2)按公允价值计量的可供出售金融资产</v>
      </c>
      <c r="H1961" s="1517" t="str">
        <f>$A1961</f>
        <v>1503e</v>
      </c>
      <c r="I1961" s="343" t="s">
        <v>5965</v>
      </c>
      <c r="J1961" s="301"/>
      <c r="K1961" s="3081"/>
      <c r="L1961" s="315"/>
      <c r="M1961" s="301"/>
      <c r="N1961" s="3081"/>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4"/>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4"/>
      <c r="B1964" s="371"/>
      <c r="C1964" s="371"/>
      <c r="D1964" s="371"/>
      <c r="E1964" s="586" t="s">
        <v>2749</v>
      </c>
      <c r="F1964" s="414"/>
      <c r="G1964" s="3145" t="s">
        <v>3372</v>
      </c>
      <c r="H1964" s="3141" t="str">
        <f>$V$3</f>
        <v>2018年12月31日</v>
      </c>
      <c r="I1964" s="3141"/>
      <c r="J1964" s="3141"/>
      <c r="K1964" s="3142"/>
      <c r="L1964" s="355" t="s">
        <v>5279</v>
      </c>
      <c r="M1964" s="301"/>
      <c r="S1964" s="364"/>
      <c r="Z1964" s="609" t="s">
        <v>806</v>
      </c>
      <c r="AA1964" s="609" t="s">
        <v>3380</v>
      </c>
    </row>
    <row r="1965" spans="1:29" ht="36">
      <c r="A1965" s="2714"/>
      <c r="B1965" s="371"/>
      <c r="C1965" s="371"/>
      <c r="D1965" s="371"/>
      <c r="E1965" s="586" t="s">
        <v>2749</v>
      </c>
      <c r="F1965" s="363"/>
      <c r="G1965" s="3146"/>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45" t="s">
        <v>3376</v>
      </c>
      <c r="H1974" s="3149" t="s">
        <v>2861</v>
      </c>
      <c r="I1974" s="3149"/>
      <c r="J1974" s="3149"/>
      <c r="K1974" s="3177"/>
      <c r="L1974" s="355" t="s">
        <v>5279</v>
      </c>
      <c r="M1974" s="1509"/>
      <c r="N1974" s="1509"/>
      <c r="O1974" s="1509"/>
      <c r="P1974" s="1509"/>
      <c r="Q1974" s="3297"/>
      <c r="R1974" s="443"/>
      <c r="S1974" s="364"/>
      <c r="Z1974" s="609" t="s">
        <v>806</v>
      </c>
      <c r="AA1974" s="609" t="s">
        <v>3371</v>
      </c>
    </row>
    <row r="1975" spans="1:27" ht="18">
      <c r="A1975" s="2714"/>
      <c r="B1975" s="371"/>
      <c r="C1975" s="371"/>
      <c r="D1975" s="2716"/>
      <c r="E1975" s="586" t="s">
        <v>2749</v>
      </c>
      <c r="F1975" s="414"/>
      <c r="G1975" s="3146"/>
      <c r="H1975" s="2474" t="str">
        <f>$Y$3</f>
        <v>2017年12月31日</v>
      </c>
      <c r="I1975" s="2294" t="s">
        <v>3027</v>
      </c>
      <c r="J1975" s="2294" t="s">
        <v>3028</v>
      </c>
      <c r="K1975" s="2334" t="str">
        <f>$V$3</f>
        <v>2018年12月31日</v>
      </c>
      <c r="L1975" s="355" t="s">
        <v>6138</v>
      </c>
      <c r="M1975" s="479"/>
      <c r="N1975" s="479"/>
      <c r="O1975" s="1462"/>
      <c r="P1975" s="1509"/>
      <c r="Q1975" s="3297"/>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45" t="s">
        <v>3376</v>
      </c>
      <c r="H1989" s="3149" t="s">
        <v>3097</v>
      </c>
      <c r="I1989" s="3149"/>
      <c r="J1989" s="3149"/>
      <c r="K1989" s="3149"/>
      <c r="L1989" s="3149" t="s">
        <v>3378</v>
      </c>
      <c r="M1989" s="3177"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146"/>
      <c r="H1990" s="2474" t="str">
        <f>$Y$3</f>
        <v>2017年12月31日</v>
      </c>
      <c r="I1990" s="2294" t="s">
        <v>3027</v>
      </c>
      <c r="J1990" s="2294" t="s">
        <v>3028</v>
      </c>
      <c r="K1990" s="2333" t="str">
        <f>$V$3</f>
        <v>2018年12月31日</v>
      </c>
      <c r="L1990" s="3150"/>
      <c r="M1990" s="3261"/>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6614</v>
      </c>
      <c r="F2013" s="294"/>
      <c r="G2013" s="372" t="str">
        <f>"("&amp;B2013&amp;")"&amp;D2013</f>
        <v>(4)报告期内可供出售金融资产减值的变动情况</v>
      </c>
      <c r="H2013" s="1517"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1"/>
      <c r="L2021" s="315"/>
      <c r="M2021" s="301"/>
      <c r="N2021" s="3081"/>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45" t="s">
        <v>5134</v>
      </c>
      <c r="H2051" s="3153" t="str">
        <f>$V$2</f>
        <v>2019年12月31日</v>
      </c>
      <c r="I2051" s="3154"/>
      <c r="J2051" s="3154"/>
      <c r="K2051" s="3264"/>
      <c r="L2051" s="3265" t="str">
        <f>$V$3</f>
        <v>2018年12月31日</v>
      </c>
      <c r="M2051" s="3266"/>
      <c r="N2051" s="3266"/>
      <c r="O2051" s="3266"/>
      <c r="P2051" s="355" t="s">
        <v>5280</v>
      </c>
      <c r="Q2051" s="442"/>
      <c r="R2051" s="443"/>
      <c r="S2051" s="364"/>
      <c r="Z2051" s="609" t="s">
        <v>849</v>
      </c>
      <c r="AA2051" s="609" t="s">
        <v>3401</v>
      </c>
    </row>
    <row r="2052" spans="1:27" ht="18">
      <c r="A2052" s="2714"/>
      <c r="B2052" s="371"/>
      <c r="C2052" s="371"/>
      <c r="D2052" s="2716"/>
      <c r="E2052" s="586" t="s">
        <v>2749</v>
      </c>
      <c r="F2052" s="414"/>
      <c r="G2052" s="3146"/>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6468</v>
      </c>
      <c r="I2064" s="371" t="s">
        <v>6528</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6393</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6529</v>
      </c>
      <c r="I2080" s="547" t="s">
        <v>2947</v>
      </c>
      <c r="J2080" s="371" t="s">
        <v>2948</v>
      </c>
      <c r="K2080" s="547" t="s">
        <v>6530</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6407</v>
      </c>
      <c r="H2081" s="2310" t="s">
        <v>6408</v>
      </c>
      <c r="I2081" s="2687" t="s">
        <v>3360</v>
      </c>
      <c r="J2081" s="2687" t="s">
        <v>3097</v>
      </c>
      <c r="K2081" s="2689" t="s">
        <v>6409</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6574</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6529</v>
      </c>
      <c r="I2093" s="371" t="s">
        <v>2947</v>
      </c>
      <c r="J2093" s="371" t="s">
        <v>2948</v>
      </c>
      <c r="K2093" s="547" t="s">
        <v>6530</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6410</v>
      </c>
      <c r="H2094" s="2310" t="s">
        <v>6411</v>
      </c>
      <c r="I2094" s="2687" t="s">
        <v>3148</v>
      </c>
      <c r="J2094" s="2687" t="s">
        <v>3097</v>
      </c>
      <c r="K2094" s="2689" t="s">
        <v>6412</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6574</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6529</v>
      </c>
      <c r="I2106" s="371" t="s">
        <v>2947</v>
      </c>
      <c r="J2106" s="371" t="s">
        <v>2948</v>
      </c>
      <c r="K2106" s="547" t="s">
        <v>6530</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6413</v>
      </c>
      <c r="H2107" s="2310" t="s">
        <v>6414</v>
      </c>
      <c r="I2107" s="2687" t="s">
        <v>3148</v>
      </c>
      <c r="J2107" s="2687" t="s">
        <v>3097</v>
      </c>
      <c r="K2107" s="2689" t="s">
        <v>6415</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6574</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45" t="s">
        <v>5117</v>
      </c>
      <c r="H2121" s="3151" t="str">
        <f>$V$3</f>
        <v>2018年12月31日</v>
      </c>
      <c r="I2121" s="3149" t="s">
        <v>5209</v>
      </c>
      <c r="J2121" s="3151" t="str">
        <f>$X$3</f>
        <v>2019年1月1日</v>
      </c>
      <c r="K2121" s="3179" t="s">
        <v>2919</v>
      </c>
      <c r="L2121" s="3179"/>
      <c r="M2121" s="3179"/>
      <c r="N2121" s="3262"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146"/>
      <c r="H2122" s="3152"/>
      <c r="I2122" s="3150"/>
      <c r="J2122" s="3152"/>
      <c r="K2122" s="2239" t="s">
        <v>5210</v>
      </c>
      <c r="L2122" s="2239" t="s">
        <v>5211</v>
      </c>
      <c r="M2122" s="2294" t="s">
        <v>5212</v>
      </c>
      <c r="N2122" s="3263"/>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61" t="s">
        <v>5853</v>
      </c>
      <c r="H2140" s="2291" t="s">
        <v>3348</v>
      </c>
      <c r="I2140" s="2291" t="s">
        <v>3349</v>
      </c>
      <c r="J2140" s="2291" t="s">
        <v>3350</v>
      </c>
      <c r="K2140" s="3303"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162"/>
      <c r="H2141" s="2294" t="s">
        <v>3352</v>
      </c>
      <c r="I2141" s="2294" t="s">
        <v>3353</v>
      </c>
      <c r="J2141" s="2294" t="s">
        <v>3354</v>
      </c>
      <c r="K2141" s="3304"/>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22" t="s">
        <v>47</v>
      </c>
      <c r="H2160" s="3259" t="str">
        <f>$V$2</f>
        <v>2019年12月31日</v>
      </c>
      <c r="I2160" s="3244"/>
      <c r="J2160" s="3260"/>
      <c r="K2160" s="3243" t="str">
        <f>$V$3</f>
        <v>2018年12月31日</v>
      </c>
      <c r="L2160" s="3244"/>
      <c r="M2160" s="3244"/>
      <c r="N2160" s="355" t="s">
        <v>5281</v>
      </c>
      <c r="S2160" s="364"/>
      <c r="Z2160" s="609" t="s">
        <v>904</v>
      </c>
      <c r="AA2160" s="609" t="s">
        <v>5661</v>
      </c>
    </row>
    <row r="2161" spans="1:27" ht="18">
      <c r="A2161" s="2714"/>
      <c r="B2161" s="371"/>
      <c r="C2161" s="371"/>
      <c r="D2161" s="371"/>
      <c r="E2161" s="2716" t="s">
        <v>2749</v>
      </c>
      <c r="F2161" s="294"/>
      <c r="G2161" s="3223"/>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1"/>
      <c r="L2171" s="315"/>
      <c r="M2171" s="301"/>
      <c r="N2171" s="3081"/>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6532</v>
      </c>
      <c r="F2181" s="294"/>
      <c r="G2181" s="372" t="str">
        <f>"("&amp;B2181&amp;")"&amp;D2181</f>
        <v>(3)本期重分类的持有至到期投资</v>
      </c>
      <c r="H2181" s="1517" t="str">
        <f>$A2181</f>
        <v>1501e</v>
      </c>
      <c r="I2181" s="343" t="s">
        <v>5965</v>
      </c>
      <c r="J2181" s="301"/>
      <c r="K2181" s="3081"/>
      <c r="L2181" s="315"/>
      <c r="M2181" s="301"/>
      <c r="N2181" s="3081"/>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6532</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70" t="s">
        <v>47</v>
      </c>
      <c r="H2205" s="3231" t="str">
        <f>$V$2</f>
        <v>2019年12月31日</v>
      </c>
      <c r="I2205" s="3245"/>
      <c r="J2205" s="3232"/>
      <c r="K2205" s="3231" t="str">
        <f>$V$3</f>
        <v>2018年12月31日</v>
      </c>
      <c r="L2205" s="3245"/>
      <c r="M2205" s="3232"/>
      <c r="N2205" s="3278" t="s">
        <v>3444</v>
      </c>
      <c r="O2205" s="355" t="s">
        <v>5282</v>
      </c>
      <c r="S2205" s="364"/>
      <c r="Z2205" s="609" t="s">
        <v>925</v>
      </c>
      <c r="AA2205" s="609" t="s">
        <v>3451</v>
      </c>
    </row>
    <row r="2206" spans="1:27" ht="18">
      <c r="A2206" s="2714"/>
      <c r="B2206" s="371"/>
      <c r="C2206" s="371"/>
      <c r="D2206" s="371"/>
      <c r="E2206" s="586" t="s">
        <v>2749</v>
      </c>
      <c r="F2206" s="363"/>
      <c r="G2206" s="3171"/>
      <c r="H2206" s="2283" t="s">
        <v>2861</v>
      </c>
      <c r="I2206" s="2283" t="s">
        <v>2862</v>
      </c>
      <c r="J2206" s="2283" t="s">
        <v>2863</v>
      </c>
      <c r="K2206" s="2283" t="s">
        <v>2861</v>
      </c>
      <c r="L2206" s="2283" t="s">
        <v>2862</v>
      </c>
      <c r="M2206" s="2283" t="s">
        <v>2863</v>
      </c>
      <c r="N2206" s="3279"/>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6402</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6532</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6557</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6558</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6559</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45" t="s">
        <v>5135</v>
      </c>
      <c r="H2276" s="3177" t="str">
        <f>$W$3&amp;"账面余额"</f>
        <v>2018年12月31日账面余额</v>
      </c>
      <c r="I2276" s="3161"/>
      <c r="J2276" s="3177" t="str">
        <f>$W$3&amp;"坏账准备"</f>
        <v>2018年12月31日坏账准备</v>
      </c>
      <c r="K2276" s="3161"/>
      <c r="L2276" s="3305"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146"/>
      <c r="H2277" s="2294" t="s">
        <v>2887</v>
      </c>
      <c r="I2277" s="2294" t="s">
        <v>2888</v>
      </c>
      <c r="J2277" s="2294" t="s">
        <v>2887</v>
      </c>
      <c r="K2277" s="2239" t="s">
        <v>2889</v>
      </c>
      <c r="L2277" s="3306"/>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6560</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45" t="s">
        <v>6140</v>
      </c>
      <c r="H2296" s="3153" t="str">
        <f>$V$3</f>
        <v>2018年12月31日</v>
      </c>
      <c r="I2296" s="3154"/>
      <c r="J2296" s="3154"/>
      <c r="K2296" s="3154"/>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146"/>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6561</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47" t="s">
        <v>5948</v>
      </c>
      <c r="H2318" s="3155" t="str">
        <f>$V$3</f>
        <v>2018年12月31日</v>
      </c>
      <c r="I2318" s="3156"/>
      <c r="J2318" s="3156"/>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148"/>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45" t="s">
        <v>6009</v>
      </c>
      <c r="H2333" s="3151" t="str">
        <f>$V$3</f>
        <v>2018年12月31日</v>
      </c>
      <c r="I2333" s="3149" t="s">
        <v>6010</v>
      </c>
      <c r="J2333" s="3151" t="str">
        <f>$X$3</f>
        <v>2019年1月1日</v>
      </c>
      <c r="K2333" s="3179" t="s">
        <v>2919</v>
      </c>
      <c r="L2333" s="3179"/>
      <c r="M2333" s="3179"/>
      <c r="N2333" s="3262"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146"/>
      <c r="H2334" s="3152"/>
      <c r="I2334" s="3150"/>
      <c r="J2334" s="3152"/>
      <c r="K2334" s="2239" t="s">
        <v>6027</v>
      </c>
      <c r="L2334" s="2239" t="s">
        <v>6012</v>
      </c>
      <c r="M2334" s="2294" t="s">
        <v>6034</v>
      </c>
      <c r="N2334" s="3263"/>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61" t="s">
        <v>2862</v>
      </c>
      <c r="H2352" s="2291" t="s">
        <v>3348</v>
      </c>
      <c r="I2352" s="2291" t="s">
        <v>3349</v>
      </c>
      <c r="J2352" s="2291" t="s">
        <v>3350</v>
      </c>
      <c r="K2352" s="3303"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162"/>
      <c r="H2353" s="2294" t="s">
        <v>3352</v>
      </c>
      <c r="I2353" s="2294" t="s">
        <v>3353</v>
      </c>
      <c r="J2353" s="2294" t="s">
        <v>3354</v>
      </c>
      <c r="K2353" s="3304"/>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6532</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6532</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6532</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6531</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t="str">
        <f>IF($I2412="适用",IF(ROUND(N$2411-N2412,2)=0,"F/S",ROUND(N$2411-N2412,2)),"#N/A")</f>
        <v>F/S</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166" t="s">
        <v>47</v>
      </c>
      <c r="H2415" s="3163" t="str">
        <f>$V$2</f>
        <v>2019年12月31日</v>
      </c>
      <c r="I2415" s="3164"/>
      <c r="J2415" s="3165"/>
      <c r="K2415" s="3163" t="str">
        <f>$V$3</f>
        <v>2018年12月31日</v>
      </c>
      <c r="L2415" s="3164"/>
      <c r="M2415" s="3164"/>
      <c r="N2415" s="355" t="s">
        <v>6176</v>
      </c>
      <c r="O2415" s="349"/>
      <c r="P2415" s="301"/>
      <c r="S2415" s="364"/>
      <c r="Z2415" s="609" t="s">
        <v>983</v>
      </c>
      <c r="AA2415" s="609" t="s">
        <v>5662</v>
      </c>
    </row>
    <row r="2416" spans="1:27" ht="18">
      <c r="A2416" s="2714"/>
      <c r="B2416" s="371"/>
      <c r="C2416" s="371"/>
      <c r="D2416" s="2716"/>
      <c r="E2416" s="2716" t="s">
        <v>2749</v>
      </c>
      <c r="F2416" s="293"/>
      <c r="G2416" s="3167"/>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6357</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6534</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6533</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70" t="s">
        <v>3376</v>
      </c>
      <c r="H2466" s="3246" t="str">
        <f>$V$3</f>
        <v>2018年12月31日</v>
      </c>
      <c r="I2466" s="3202" t="s">
        <v>3510</v>
      </c>
      <c r="J2466" s="3202"/>
      <c r="K2466" s="3202"/>
      <c r="L2466" s="3202"/>
      <c r="M2466" s="3202"/>
      <c r="N2466" s="3202"/>
      <c r="O2466" s="3202"/>
      <c r="P2466" s="3202"/>
      <c r="Q2466" s="3246" t="str">
        <f>$V$2</f>
        <v>2019年12月31日</v>
      </c>
      <c r="R2466" s="3278"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171"/>
      <c r="H2467" s="3247"/>
      <c r="I2467" s="2283" t="s">
        <v>3512</v>
      </c>
      <c r="J2467" s="2283" t="s">
        <v>3513</v>
      </c>
      <c r="K2467" s="2283" t="s">
        <v>3514</v>
      </c>
      <c r="L2467" s="2283" t="s">
        <v>3515</v>
      </c>
      <c r="M2467" s="2283" t="s">
        <v>3516</v>
      </c>
      <c r="N2467" s="2283" t="s">
        <v>3517</v>
      </c>
      <c r="O2467" s="2283" t="s">
        <v>3518</v>
      </c>
      <c r="P2467" s="2283" t="s">
        <v>3519</v>
      </c>
      <c r="Q2467" s="3247"/>
      <c r="R2467" s="3279"/>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6562</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HYPERLINK("#'"&amp;$G$1&amp;"'!"&amp;ADDRESS(ROW(Notes!L4885),COLUMN(Notes!L4885),4),"* 请勿删除此行！点击往勾稽单元格，F5+Enter返回")</f>
        <v>* 请勿删除此行！点击往勾稽单元格，F5+Enter返回</v>
      </c>
      <c r="Z2494" s="609" t="s">
        <v>983</v>
      </c>
      <c r="AA2494" s="609" t="s">
        <v>5662</v>
      </c>
      <c r="AC2494" s="369" t="s">
        <v>6574</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6532</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6532</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HYPERLINK("#'"&amp;$G$1&amp;"'!"&amp;ADDRESS(ROW(Notes!L4886),COLUMN(Notes!L4886),4),"*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6556</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1"/>
      <c r="L2618" s="315"/>
      <c r="M2618" s="301"/>
      <c r="N2618" s="3081"/>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6532</v>
      </c>
      <c r="F2628" s="294"/>
      <c r="G2628" s="307" t="str">
        <f>"("&amp;B2628&amp;")"&amp;D2628</f>
        <v>(4)投资性房地产抵押情况</v>
      </c>
      <c r="H2628" s="1517" t="str">
        <f>$A2628</f>
        <v>1521s</v>
      </c>
      <c r="I2628" s="343" t="s">
        <v>5965</v>
      </c>
      <c r="J2628" s="301"/>
      <c r="K2628" s="3081"/>
      <c r="L2628" s="315"/>
      <c r="M2628" s="301"/>
      <c r="N2628" s="3081"/>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2260.42</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f>IF($I2639="适用",IF(ROUND(N$2638-N2639,2)=0,"F/S",ROUND(N$2638-N2639,2)),"#N/A")</f>
        <v>2260.42</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2260.42</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2260.42</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2260.42</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2260.42</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10" t="s">
        <v>47</v>
      </c>
      <c r="H2651" s="3218" t="s">
        <v>3574</v>
      </c>
      <c r="I2651" s="3218" t="s">
        <v>3558</v>
      </c>
      <c r="J2651" s="3218"/>
      <c r="K2651" s="3218"/>
      <c r="L2651" s="3218"/>
      <c r="M2651" s="3218"/>
      <c r="N2651" s="3218" t="s">
        <v>3560</v>
      </c>
      <c r="O2651" s="3218"/>
      <c r="P2651" s="3282" t="s">
        <v>3575</v>
      </c>
      <c r="Q2651" s="355" t="s">
        <v>5288</v>
      </c>
      <c r="R2651" s="443"/>
      <c r="S2651" s="364"/>
      <c r="Z2651" s="609" t="s">
        <v>1107</v>
      </c>
      <c r="AA2651" s="609" t="s">
        <v>3598</v>
      </c>
    </row>
    <row r="2652" spans="1:27" ht="24">
      <c r="A2652" s="2714"/>
      <c r="B2652" s="371"/>
      <c r="C2652" s="371"/>
      <c r="D2652" s="2716"/>
      <c r="E2652" s="2716" t="s">
        <v>2749</v>
      </c>
      <c r="F2652" s="293"/>
      <c r="G2652" s="3211"/>
      <c r="H2652" s="3307"/>
      <c r="I2652" s="2286" t="s">
        <v>3576</v>
      </c>
      <c r="J2652" s="2286" t="s">
        <v>3603</v>
      </c>
      <c r="K2652" s="2279" t="s">
        <v>3547</v>
      </c>
      <c r="L2652" s="2344" t="s">
        <v>5158</v>
      </c>
      <c r="M2652" s="2344" t="s">
        <v>5157</v>
      </c>
      <c r="N2652" s="2286" t="s">
        <v>3605</v>
      </c>
      <c r="O2652" s="2286" t="s">
        <v>3609</v>
      </c>
      <c r="P2652" s="3283"/>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6840</v>
      </c>
      <c r="H2657" s="309">
        <v>4099.5</v>
      </c>
      <c r="I2657" s="309"/>
      <c r="J2657" s="309"/>
      <c r="K2657" s="309"/>
      <c r="L2657" s="1465">
        <v>0</v>
      </c>
      <c r="M2657" s="309"/>
      <c r="N2657" s="320"/>
      <c r="O2657" s="309">
        <v>4099.5</v>
      </c>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6533</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6563</v>
      </c>
      <c r="D2663" s="2716">
        <f t="shared" si="286"/>
        <v>1</v>
      </c>
      <c r="E2663" s="2721">
        <v>1</v>
      </c>
      <c r="F2663" s="294"/>
      <c r="G2663" s="632" t="s">
        <v>5161</v>
      </c>
      <c r="H2663" s="1476">
        <f t="shared" ref="H2663:P2663" si="288">SUMIF($E$2652:$E$2695,$G2663,H$2652:H$2695)</f>
        <v>4099.5</v>
      </c>
      <c r="I2663" s="1476">
        <f t="shared" si="288"/>
        <v>0</v>
      </c>
      <c r="J2663" s="1476">
        <f t="shared" si="288"/>
        <v>0</v>
      </c>
      <c r="K2663" s="1476">
        <f t="shared" si="288"/>
        <v>0</v>
      </c>
      <c r="L2663" s="1483">
        <f t="shared" si="288"/>
        <v>0</v>
      </c>
      <c r="M2663" s="1476">
        <f t="shared" si="288"/>
        <v>0</v>
      </c>
      <c r="N2663" s="1476">
        <f t="shared" si="288"/>
        <v>0</v>
      </c>
      <c r="O2663" s="1476">
        <f t="shared" si="288"/>
        <v>4099.5</v>
      </c>
      <c r="P2663" s="1477">
        <f t="shared" si="288"/>
        <v>0</v>
      </c>
      <c r="Q2663" s="442"/>
      <c r="R2663" s="443"/>
      <c r="S2663" s="364"/>
      <c r="Z2663" s="609" t="s">
        <v>1107</v>
      </c>
      <c r="AA2663" s="609" t="s">
        <v>3598</v>
      </c>
    </row>
    <row r="2664" spans="1:27" ht="18">
      <c r="A2664" s="2714"/>
      <c r="B2664" s="371">
        <v>102</v>
      </c>
      <c r="C2664" s="371"/>
      <c r="D2664" s="2716">
        <f t="shared" si="286"/>
        <v>1</v>
      </c>
      <c r="E2664" s="2721" t="s">
        <v>6564</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1839.08</v>
      </c>
      <c r="I2668" s="1465">
        <v>0</v>
      </c>
      <c r="J2668" s="1465">
        <v>0</v>
      </c>
      <c r="K2668" s="1465">
        <v>0</v>
      </c>
      <c r="L2668" s="309">
        <v>1298.1600000000001</v>
      </c>
      <c r="M2668" s="309"/>
      <c r="N2668" s="320"/>
      <c r="O2668" s="309">
        <v>3137.24</v>
      </c>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1839.08</v>
      </c>
      <c r="I2674" s="1483">
        <f t="shared" si="290"/>
        <v>0</v>
      </c>
      <c r="J2674" s="1483">
        <f t="shared" si="290"/>
        <v>0</v>
      </c>
      <c r="K2674" s="1483">
        <f t="shared" si="290"/>
        <v>0</v>
      </c>
      <c r="L2674" s="1476">
        <f t="shared" si="290"/>
        <v>1298.1600000000001</v>
      </c>
      <c r="M2674" s="1476">
        <f t="shared" si="290"/>
        <v>0</v>
      </c>
      <c r="N2674" s="1476">
        <f t="shared" si="290"/>
        <v>0</v>
      </c>
      <c r="O2674" s="1476">
        <f t="shared" si="290"/>
        <v>3137.24</v>
      </c>
      <c r="P2674" s="1477">
        <f t="shared" si="290"/>
        <v>0</v>
      </c>
      <c r="Q2674" s="442"/>
      <c r="R2674" s="443"/>
      <c r="S2674" s="364"/>
      <c r="Z2674" s="609" t="s">
        <v>1107</v>
      </c>
      <c r="AA2674" s="609" t="s">
        <v>3598</v>
      </c>
    </row>
    <row r="2675" spans="1:29" ht="18">
      <c r="A2675" s="2714"/>
      <c r="B2675" s="371">
        <v>103</v>
      </c>
      <c r="C2675" s="371"/>
      <c r="D2675" s="2716">
        <f t="shared" si="286"/>
        <v>1</v>
      </c>
      <c r="E2675" s="2721" t="s">
        <v>6565</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HYPERLINK("#'"&amp;$G$1&amp;"'!"&amp;ADDRESS(ROW(Notes!L4887),COLUMN(Notes!L4887),4),"*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6565</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2260.42</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2260.42</v>
      </c>
      <c r="I2696" s="1478">
        <f t="shared" si="295"/>
        <v>0</v>
      </c>
      <c r="J2696" s="1478">
        <f t="shared" si="295"/>
        <v>0</v>
      </c>
      <c r="K2696" s="1478">
        <f t="shared" si="295"/>
        <v>0</v>
      </c>
      <c r="L2696" s="1478">
        <f t="shared" si="295"/>
        <v>-1298.1600000000001</v>
      </c>
      <c r="M2696" s="1478">
        <f t="shared" si="295"/>
        <v>0</v>
      </c>
      <c r="N2696" s="1478">
        <f t="shared" si="295"/>
        <v>0</v>
      </c>
      <c r="O2696" s="1478">
        <f t="shared" si="295"/>
        <v>962.26</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2260.42</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2260.42</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1"/>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1"/>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1"/>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f>IF($I2748="适用",IF(ROUND(N$2647-N2748,2)=0,"F/S",ROUND(N$2647-N2748,2)),"#N/A")</f>
        <v>2260.42</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6532</v>
      </c>
      <c r="F2761" s="294"/>
      <c r="G2761" s="372" t="str">
        <f>"("&amp;B2761&amp;")"&amp;D2761</f>
        <v>(6)未办妥产权证书的固定资产及其累计折旧明细项目</v>
      </c>
      <c r="H2761" s="1517" t="str">
        <f>$A2761</f>
        <v>1601f</v>
      </c>
      <c r="I2761" s="343" t="s">
        <v>5966</v>
      </c>
      <c r="J2761" s="301"/>
      <c r="K2761" s="3081"/>
      <c r="L2761" s="345"/>
      <c r="M2761" s="301"/>
      <c r="N2761" s="3081"/>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6532</v>
      </c>
      <c r="F2771" s="294"/>
      <c r="G2771" s="307" t="str">
        <f>"("&amp;B2771&amp;")"&amp;D2771</f>
        <v>(7)固定资产抵押情况</v>
      </c>
      <c r="H2771" s="1517" t="str">
        <f>$A2771</f>
        <v>1601s</v>
      </c>
      <c r="I2771" s="343" t="s">
        <v>5965</v>
      </c>
      <c r="J2771" s="301"/>
      <c r="K2771" s="3081"/>
      <c r="L2771" s="315"/>
      <c r="M2771" s="301"/>
      <c r="N2771" s="3081"/>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6532</v>
      </c>
      <c r="F2781" s="294"/>
      <c r="G2781" s="372" t="str">
        <f>"("&amp;B2781&amp;")"&amp;D2781</f>
        <v>(8)固定资产累计折旧补充资料</v>
      </c>
      <c r="H2781" s="1517" t="str">
        <f>$A2781</f>
        <v>1601x</v>
      </c>
      <c r="I2781" s="343" t="s">
        <v>5966</v>
      </c>
      <c r="J2781" s="301" t="s">
        <v>5971</v>
      </c>
      <c r="K2781" s="2210">
        <f>H2794</f>
        <v>0</v>
      </c>
      <c r="L2781" s="345"/>
      <c r="M2781" s="301"/>
      <c r="N2781" s="3081"/>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6532</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170" t="s">
        <v>47</v>
      </c>
      <c r="H2833" s="3308" t="str">
        <f>$V$2</f>
        <v>2019年12月31日</v>
      </c>
      <c r="I2833" s="3308"/>
      <c r="J2833" s="3308"/>
      <c r="K2833" s="3308" t="str">
        <f>$V$3</f>
        <v>2018年12月31日</v>
      </c>
      <c r="L2833" s="3308"/>
      <c r="M2833" s="3309"/>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171"/>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6532</v>
      </c>
      <c r="F2847" s="294"/>
      <c r="G2847" s="307" t="str">
        <f>"("&amp;B2847&amp;")"&amp;D2847</f>
        <v>(2)重要在建工程项目变动情况列示</v>
      </c>
      <c r="H2847" s="1517" t="str">
        <f>$A2847</f>
        <v>1604b</v>
      </c>
      <c r="I2847" s="343" t="s">
        <v>5965</v>
      </c>
      <c r="J2847" s="301" t="s">
        <v>2744</v>
      </c>
      <c r="K2847" s="3082">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6532</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3"/>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HYPERLINK("#'"&amp;$G$1&amp;"'!"&amp;ADDRESS(ROW(Notes!L4889),COLUMN(Notes!L4889),4),"*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6609</v>
      </c>
      <c r="F2897" s="294"/>
      <c r="G2897" s="372" t="str">
        <f>"("&amp;B2897&amp;")"&amp;D2897</f>
        <v>(3)本期在建工程项目计提减值准备情况</v>
      </c>
      <c r="H2897" s="1517" t="str">
        <f>$A2897</f>
        <v>1604d</v>
      </c>
      <c r="I2897" s="343" t="s">
        <v>6617</v>
      </c>
      <c r="J2897" s="301" t="s">
        <v>6615</v>
      </c>
      <c r="K2897" s="2210">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6566</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24" t="s">
        <v>47</v>
      </c>
      <c r="H2911" s="3239" t="str">
        <f>$V$2</f>
        <v>2019年12月31日</v>
      </c>
      <c r="I2911" s="3273"/>
      <c r="J2911" s="3240"/>
      <c r="K2911" s="3310" t="str">
        <f>$V$3</f>
        <v>2018年12月31日</v>
      </c>
      <c r="L2911" s="3311"/>
      <c r="M2911" s="3311"/>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25"/>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HYPERLINK("#'"&amp;$G$1&amp;"'!"&amp;ADDRESS(ROW(Notes!L4888),COLUMN(Notes!L4888),4),"* 请勿删除此行！点击往勾稽单元格，F5+Enter返回")</f>
        <v>* 请勿删除此行！点击往勾稽单元格，F5+Enter返回</v>
      </c>
      <c r="O2917" s="349"/>
      <c r="P2917" s="301"/>
      <c r="S2917" s="364"/>
      <c r="Z2917" s="609" t="s">
        <v>1200</v>
      </c>
      <c r="AA2917" s="609" t="s">
        <v>5663</v>
      </c>
      <c r="AC2917" s="369" t="s">
        <v>6574</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10" t="s">
        <v>47</v>
      </c>
      <c r="H2923" s="3218" t="s">
        <v>3574</v>
      </c>
      <c r="I2923" s="3218" t="s">
        <v>3558</v>
      </c>
      <c r="J2923" s="3218"/>
      <c r="K2923" s="3218"/>
      <c r="L2923" s="3218"/>
      <c r="M2923" s="3218" t="s">
        <v>3560</v>
      </c>
      <c r="N2923" s="3218"/>
      <c r="O2923" s="3282" t="s">
        <v>3575</v>
      </c>
      <c r="P2923" s="355" t="s">
        <v>5290</v>
      </c>
      <c r="S2923" s="364"/>
      <c r="Z2923" s="609" t="s">
        <v>1206</v>
      </c>
      <c r="AA2923" s="609" t="s">
        <v>5664</v>
      </c>
    </row>
    <row r="2924" spans="1:29" ht="18">
      <c r="A2924" s="2714"/>
      <c r="B2924" s="371"/>
      <c r="C2924" s="371"/>
      <c r="D2924" s="371"/>
      <c r="E2924" s="2716" t="s">
        <v>2749</v>
      </c>
      <c r="F2924" s="294"/>
      <c r="G2924" s="3211"/>
      <c r="H2924" s="3307"/>
      <c r="I2924" s="2370" t="s">
        <v>3546</v>
      </c>
      <c r="J2924" s="2370" t="s">
        <v>3678</v>
      </c>
      <c r="K2924" s="2371" t="s">
        <v>5164</v>
      </c>
      <c r="L2924" s="2371" t="s">
        <v>5163</v>
      </c>
      <c r="M2924" s="2372" t="s">
        <v>3561</v>
      </c>
      <c r="N2924" s="2370" t="s">
        <v>3679</v>
      </c>
      <c r="O2924" s="3283"/>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HYPERLINK("#'"&amp;$G$1&amp;"'!"&amp;ADDRESS(ROW(Notes!L4890),COLUMN(Notes!L4890),4),"*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10" t="s">
        <v>47</v>
      </c>
      <c r="H2985" s="3290" t="s">
        <v>3524</v>
      </c>
      <c r="I2985" s="3290" t="s">
        <v>3649</v>
      </c>
      <c r="J2985" s="3218"/>
      <c r="K2985" s="3218"/>
      <c r="L2985" s="3218"/>
      <c r="M2985" s="3290" t="s">
        <v>3699</v>
      </c>
      <c r="N2985" s="3218"/>
      <c r="O2985" s="3290" t="s">
        <v>3700</v>
      </c>
      <c r="P2985" s="3298" t="s">
        <v>2560</v>
      </c>
      <c r="Q2985" s="355" t="s">
        <v>5290</v>
      </c>
      <c r="S2985" s="364"/>
      <c r="Z2985" s="609" t="s">
        <v>1206</v>
      </c>
      <c r="AA2985" s="609" t="s">
        <v>5664</v>
      </c>
    </row>
    <row r="2986" spans="1:27" ht="18">
      <c r="A2986" s="2714"/>
      <c r="B2986" s="371"/>
      <c r="C2986" s="371"/>
      <c r="D2986" s="371"/>
      <c r="E2986" s="2716" t="s">
        <v>2749</v>
      </c>
      <c r="F2986" s="294"/>
      <c r="G2986" s="3211"/>
      <c r="H2986" s="3307"/>
      <c r="I2986" s="2318" t="s">
        <v>3701</v>
      </c>
      <c r="J2986" s="2319" t="s">
        <v>3702</v>
      </c>
      <c r="K2986" s="2318" t="s">
        <v>3703</v>
      </c>
      <c r="L2986" s="2318" t="s">
        <v>3704</v>
      </c>
      <c r="M2986" s="2318" t="s">
        <v>3596</v>
      </c>
      <c r="N2986" s="2318" t="s">
        <v>3705</v>
      </c>
      <c r="O2986" s="3291"/>
      <c r="P2986" s="3283"/>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HYPERLINK("#'"&amp;$G$1&amp;"'!"&amp;ADDRESS(ROW(Notes!L4891),COLUMN(Notes!L4891),4),"*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6556</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10" t="s">
        <v>47</v>
      </c>
      <c r="H3046" s="3218" t="s">
        <v>3574</v>
      </c>
      <c r="I3046" s="3218" t="s">
        <v>3558</v>
      </c>
      <c r="J3046" s="3218"/>
      <c r="K3046" s="3218"/>
      <c r="L3046" s="3218"/>
      <c r="M3046" s="3218"/>
      <c r="N3046" s="3218" t="s">
        <v>3560</v>
      </c>
      <c r="O3046" s="3218"/>
      <c r="P3046" s="3282" t="s">
        <v>3575</v>
      </c>
      <c r="Q3046" s="355" t="s">
        <v>5292</v>
      </c>
      <c r="S3046" s="364"/>
      <c r="Z3046" s="609" t="s">
        <v>1246</v>
      </c>
      <c r="AA3046" s="609" t="s">
        <v>3720</v>
      </c>
    </row>
    <row r="3047" spans="1:27" ht="24">
      <c r="A3047" s="2714"/>
      <c r="B3047" s="371"/>
      <c r="C3047" s="371"/>
      <c r="D3047" s="371"/>
      <c r="E3047" s="2716" t="s">
        <v>2749</v>
      </c>
      <c r="F3047" s="294"/>
      <c r="G3047" s="3211"/>
      <c r="H3047" s="3307"/>
      <c r="I3047" s="2372" t="s">
        <v>3576</v>
      </c>
      <c r="J3047" s="2372" t="s">
        <v>3715</v>
      </c>
      <c r="K3047" s="2370" t="s">
        <v>3547</v>
      </c>
      <c r="L3047" s="2371" t="s">
        <v>5174</v>
      </c>
      <c r="M3047" s="2371" t="s">
        <v>5173</v>
      </c>
      <c r="N3047" s="2372" t="s">
        <v>3561</v>
      </c>
      <c r="O3047" s="2372" t="s">
        <v>3609</v>
      </c>
      <c r="P3047" s="3283"/>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v>2185457.56</v>
      </c>
      <c r="K3052" s="309"/>
      <c r="L3052" s="1465">
        <v>0</v>
      </c>
      <c r="M3052" s="309"/>
      <c r="N3052" s="320"/>
      <c r="O3052" s="309">
        <v>2185457.56</v>
      </c>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6563</v>
      </c>
      <c r="D3061" s="2716">
        <f t="shared" si="360"/>
        <v>1</v>
      </c>
      <c r="E3061" s="2721">
        <v>1</v>
      </c>
      <c r="F3061" s="294"/>
      <c r="G3061" s="308" t="s">
        <v>5183</v>
      </c>
      <c r="H3061" s="1476">
        <f>SUMIF($E$3047:$E$3102,$G3061,H$3047:H$3102)</f>
        <v>0</v>
      </c>
      <c r="I3061" s="1476">
        <f>SUMIF($E$3047:$E$3102,$G3061,I$3047:I$3102)</f>
        <v>0</v>
      </c>
      <c r="J3061" s="1476">
        <f>SUMIF($E$3047:$E$3102,$G3061,J$3047:J$3102)</f>
        <v>2185457.56</v>
      </c>
      <c r="K3061" s="1476">
        <f>SUMIF($E$3047:$E$3102,$G3061,K$3047:K$3102)</f>
        <v>0</v>
      </c>
      <c r="L3061" s="1483">
        <v>0</v>
      </c>
      <c r="M3061" s="1476">
        <f>SUMIF($E$3047:$E$3102,$G3061,M$3047:M$3102)</f>
        <v>0</v>
      </c>
      <c r="N3061" s="1476">
        <f>SUMIF($E$3047:$E$3102,$G3061,N$3047:N$3102)</f>
        <v>0</v>
      </c>
      <c r="O3061" s="1476">
        <f>SUMIF($E$3047:$E$3102,$G3061,O$3047:O$3102)</f>
        <v>2185457.56</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v>218545.8</v>
      </c>
      <c r="M3066" s="309"/>
      <c r="N3066" s="320"/>
      <c r="O3066" s="309">
        <v>218545.8</v>
      </c>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218545.8</v>
      </c>
      <c r="M3075" s="1476">
        <f>SUMIF($E$3047:$E$3102,$G3075,M$3047:M$3102)</f>
        <v>0</v>
      </c>
      <c r="N3075" s="1476">
        <f>SUMIF($E$3047:$E$3102,$G3075,N$3047:N$3102)</f>
        <v>0</v>
      </c>
      <c r="O3075" s="1476">
        <f>SUMIF($E$3047:$E$3102,$G3075,O$3047:O$3102)</f>
        <v>218545.8</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HYPERLINK("#'"&amp;$G$1&amp;"'!"&amp;ADDRESS(ROW(Notes!L4892),COLUMN(Notes!L4892),4),"*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6532</v>
      </c>
      <c r="F3126" s="294"/>
      <c r="G3126" s="372" t="str">
        <f>"("&amp;B3126&amp;")"&amp;D3126</f>
        <v>(3)未办妥产权证书的土地使用权及其累计摊销明细项目</v>
      </c>
      <c r="H3126" s="1517" t="str">
        <f>$A3126</f>
        <v>1701e</v>
      </c>
      <c r="I3126" s="343" t="s">
        <v>5966</v>
      </c>
      <c r="J3126" s="301"/>
      <c r="K3126" s="3081"/>
      <c r="L3126" s="345"/>
      <c r="M3126" s="301"/>
      <c r="N3126" s="3081"/>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6532</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6532</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6532</v>
      </c>
      <c r="F3162" s="294"/>
      <c r="G3162" s="372" t="str">
        <f>"("&amp;B3162&amp;")"&amp;D3162</f>
        <v>(6)无形资产累计摊销补充资料</v>
      </c>
      <c r="H3162" s="1517" t="str">
        <f>$A3162</f>
        <v>1701x</v>
      </c>
      <c r="I3162" s="343" t="s">
        <v>5966</v>
      </c>
      <c r="J3162" s="301"/>
      <c r="K3162" s="3081"/>
      <c r="L3162" s="315"/>
      <c r="M3162" s="301"/>
      <c r="N3162" s="3081"/>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2185457.56</v>
      </c>
      <c r="O3174" s="540"/>
      <c r="S3174" s="364"/>
      <c r="Z3174" s="609" t="s">
        <v>3728</v>
      </c>
      <c r="AA3174" s="609" t="s">
        <v>5666</v>
      </c>
    </row>
    <row r="3175" spans="1:27" ht="18">
      <c r="A3175" s="2714" t="s">
        <v>6567</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f>IF($I3175="适用",IF(ROUND(N3174-N3175,2)=0,"F/S",ROUND(N3174-N3175,2)),"#N/A")</f>
        <v>2185457.56</v>
      </c>
      <c r="P3175" s="301"/>
      <c r="Q3175" s="290" t="str">
        <f>IF($I3175="不适用","",IF(ROUND(SUM($H$3180:$P$3185),2)=0,"请输入",""))</f>
        <v>请输入</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10" t="s">
        <v>47</v>
      </c>
      <c r="H3178" s="3267" t="str">
        <f>$V$3</f>
        <v>2018年12月31日</v>
      </c>
      <c r="I3178" s="3219" t="s">
        <v>3027</v>
      </c>
      <c r="J3178" s="3219"/>
      <c r="K3178" s="3219" t="s">
        <v>3028</v>
      </c>
      <c r="L3178" s="3219"/>
      <c r="M3178" s="3301" t="str">
        <f>$V$2</f>
        <v>2019年12月31日</v>
      </c>
      <c r="N3178" s="3284" t="s">
        <v>3742</v>
      </c>
      <c r="O3178" s="3284" t="s">
        <v>3743</v>
      </c>
      <c r="P3178" s="3299" t="s">
        <v>3744</v>
      </c>
      <c r="Q3178" s="355" t="s">
        <v>5293</v>
      </c>
      <c r="R3178" s="367"/>
      <c r="S3178" s="364"/>
      <c r="Z3178" s="609" t="s">
        <v>3728</v>
      </c>
      <c r="AA3178" s="609" t="s">
        <v>5666</v>
      </c>
    </row>
    <row r="3179" spans="1:27" ht="18">
      <c r="A3179" s="2714"/>
      <c r="B3179" s="371"/>
      <c r="C3179" s="371"/>
      <c r="D3179" s="371"/>
      <c r="E3179" s="2716" t="s">
        <v>2749</v>
      </c>
      <c r="F3179" s="294"/>
      <c r="G3179" s="3211"/>
      <c r="H3179" s="3268"/>
      <c r="I3179" s="554" t="s">
        <v>3745</v>
      </c>
      <c r="J3179" s="587" t="s">
        <v>3704</v>
      </c>
      <c r="K3179" s="554" t="s">
        <v>3746</v>
      </c>
      <c r="L3179" s="1491" t="s">
        <v>5200</v>
      </c>
      <c r="M3179" s="3302"/>
      <c r="N3179" s="3285"/>
      <c r="O3179" s="3285"/>
      <c r="P3179" s="3300"/>
      <c r="Q3179" s="367"/>
      <c r="R3179" s="367"/>
      <c r="S3179" s="364"/>
      <c r="Z3179" s="609" t="s">
        <v>3728</v>
      </c>
      <c r="AA3179" s="609" t="s">
        <v>5666</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170" t="s">
        <v>3752</v>
      </c>
      <c r="H3191" s="3246" t="str">
        <f>$V$3</f>
        <v>2018年12月31日</v>
      </c>
      <c r="I3191" s="3202" t="s">
        <v>3027</v>
      </c>
      <c r="J3191" s="3202"/>
      <c r="K3191" s="3202" t="s">
        <v>3028</v>
      </c>
      <c r="L3191" s="3202"/>
      <c r="M3191" s="3220" t="str">
        <f>$V$2</f>
        <v>2019年12月31日</v>
      </c>
      <c r="N3191" s="355" t="s">
        <v>5294</v>
      </c>
      <c r="P3191" s="291"/>
      <c r="S3191" s="364"/>
      <c r="Z3191" s="609" t="s">
        <v>1296</v>
      </c>
      <c r="AA3191" s="609" t="s">
        <v>5667</v>
      </c>
    </row>
    <row r="3192" spans="1:27" ht="18">
      <c r="A3192" s="2714"/>
      <c r="B3192" s="371"/>
      <c r="C3192" s="371"/>
      <c r="D3192" s="371"/>
      <c r="E3192" s="586" t="s">
        <v>2749</v>
      </c>
      <c r="F3192" s="363"/>
      <c r="G3192" s="3171"/>
      <c r="H3192" s="3247"/>
      <c r="I3192" s="2369" t="s">
        <v>6067</v>
      </c>
      <c r="J3192" s="2369" t="s">
        <v>3704</v>
      </c>
      <c r="K3192" s="2369" t="s">
        <v>3596</v>
      </c>
      <c r="L3192" s="2369" t="s">
        <v>3658</v>
      </c>
      <c r="M3192" s="3221"/>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170" t="s">
        <v>3752</v>
      </c>
      <c r="H3203" s="3246" t="str">
        <f>$V$3</f>
        <v>2018年12月31日</v>
      </c>
      <c r="I3203" s="3202" t="s">
        <v>3027</v>
      </c>
      <c r="J3203" s="3202"/>
      <c r="K3203" s="3202" t="s">
        <v>3028</v>
      </c>
      <c r="L3203" s="3202"/>
      <c r="M3203" s="3220" t="str">
        <f>$V$2</f>
        <v>2019年12月31日</v>
      </c>
      <c r="N3203" s="355" t="s">
        <v>5294</v>
      </c>
      <c r="P3203" s="291"/>
      <c r="S3203" s="364"/>
      <c r="Z3203" s="609" t="s">
        <v>1296</v>
      </c>
      <c r="AA3203" s="609" t="s">
        <v>5667</v>
      </c>
    </row>
    <row r="3204" spans="1:34" ht="18">
      <c r="A3204" s="2714"/>
      <c r="B3204" s="371"/>
      <c r="C3204" s="371"/>
      <c r="D3204" s="371"/>
      <c r="E3204" s="586" t="s">
        <v>2749</v>
      </c>
      <c r="F3204" s="363"/>
      <c r="G3204" s="3171"/>
      <c r="H3204" s="3247"/>
      <c r="I3204" s="2369" t="s">
        <v>2920</v>
      </c>
      <c r="J3204" s="2369" t="s">
        <v>3704</v>
      </c>
      <c r="K3204" s="2369" t="s">
        <v>3596</v>
      </c>
      <c r="L3204" s="2369" t="s">
        <v>3658</v>
      </c>
      <c r="M3204" s="3221"/>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HYPERLINK("#'"&amp;$G$1&amp;"'!"&amp;ADDRESS(ROW(Notes!L4893),COLUMN(Notes!L4893),4),"*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33" t="s">
        <v>47</v>
      </c>
      <c r="H3216" s="3235" t="str">
        <f>$V$3</f>
        <v>2018年12月31日</v>
      </c>
      <c r="I3216" s="3248" t="s">
        <v>3027</v>
      </c>
      <c r="J3216" s="3218" t="s">
        <v>3028</v>
      </c>
      <c r="K3216" s="3218"/>
      <c r="L3216" s="3295"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34"/>
      <c r="H3217" s="3236"/>
      <c r="I3217" s="3249"/>
      <c r="J3217" s="558" t="s">
        <v>3759</v>
      </c>
      <c r="K3217" s="1492" t="s">
        <v>5201</v>
      </c>
      <c r="L3217" s="3296"/>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6532</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20659.91</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f>IF($I3240="适用",IF(ROUND(N3238-N3240,2)=0,"F/S",ROUND(N3238-N3240,2)),"#N/A")</f>
        <v>20659.91</v>
      </c>
      <c r="P3240" s="301"/>
      <c r="Q3240" s="290" t="str">
        <f>IF($I3240="不适用","",IF(ROUND(SUM($H$3245:$K$3254),2)=0,"请输入",""))</f>
        <v>请输入</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170" t="s">
        <v>47</v>
      </c>
      <c r="H3243" s="3231" t="str">
        <f>$V$2</f>
        <v>2019年12月31日</v>
      </c>
      <c r="I3243" s="3232"/>
      <c r="J3243" s="3231" t="str">
        <f>$V$3</f>
        <v>2018年12月31日</v>
      </c>
      <c r="K3243" s="3245"/>
      <c r="L3243" s="355" t="s">
        <v>5296</v>
      </c>
      <c r="M3243" s="291"/>
      <c r="N3243" s="291"/>
      <c r="O3243" s="291"/>
      <c r="S3243" s="364"/>
      <c r="Z3243" s="609" t="s">
        <v>3763</v>
      </c>
      <c r="AA3243" s="609" t="s">
        <v>5669</v>
      </c>
    </row>
    <row r="3244" spans="1:27" ht="24">
      <c r="A3244" s="2714"/>
      <c r="B3244" s="371"/>
      <c r="C3244" s="371"/>
      <c r="D3244" s="371"/>
      <c r="E3244" s="586" t="s">
        <v>2749</v>
      </c>
      <c r="F3244" s="363"/>
      <c r="G3244" s="3171"/>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170" t="s">
        <v>47</v>
      </c>
      <c r="H3259" s="3231" t="str">
        <f>$V$2</f>
        <v>2019年12月31日</v>
      </c>
      <c r="I3259" s="3232"/>
      <c r="J3259" s="3231" t="str">
        <f>$V$3</f>
        <v>2018年12月31日</v>
      </c>
      <c r="K3259" s="3245"/>
      <c r="L3259" s="355" t="s">
        <v>5296</v>
      </c>
      <c r="M3259" s="291"/>
      <c r="N3259" s="291"/>
      <c r="O3259" s="291"/>
      <c r="S3259" s="364"/>
      <c r="Z3259" s="609" t="s">
        <v>3764</v>
      </c>
      <c r="AA3259" s="609" t="s">
        <v>5694</v>
      </c>
    </row>
    <row r="3260" spans="1:27" ht="24">
      <c r="A3260" s="2714"/>
      <c r="B3260" s="371"/>
      <c r="C3260" s="371"/>
      <c r="D3260" s="371"/>
      <c r="E3260" s="586" t="s">
        <v>2749</v>
      </c>
      <c r="F3260" s="363"/>
      <c r="G3260" s="3171"/>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1"/>
      <c r="L3269" s="315"/>
      <c r="M3269" s="301"/>
      <c r="N3269" s="3081"/>
      <c r="O3269" s="315"/>
      <c r="P3269" s="301"/>
      <c r="Q3269" s="290" t="str">
        <f>IF($I3269="不适用","",IF(ROUND(SUM($H$3272:$K$3274),2)=0,"请输入",""))</f>
        <v>请输入</v>
      </c>
      <c r="S3269" s="364"/>
      <c r="Z3269" s="609" t="s">
        <v>3790</v>
      </c>
      <c r="AA3269" s="609" t="s">
        <v>6576</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6576</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6576</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6576</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1"/>
      <c r="L3276" s="315"/>
      <c r="M3276" s="301"/>
      <c r="N3276" s="3081"/>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4">
        <f>H3296</f>
        <v>0</v>
      </c>
      <c r="L3286" s="315"/>
      <c r="M3286" s="301"/>
      <c r="N3286" s="3084">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6532</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6532</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6532</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1"/>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6532</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6577</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6577</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6577</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6577</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6577</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6577</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6577</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6577</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6577</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6577</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6577</v>
      </c>
    </row>
    <row r="3419" spans="1:27" ht="18">
      <c r="A3419" s="2714"/>
      <c r="B3419" s="371"/>
      <c r="C3419" s="371" t="s">
        <v>2755</v>
      </c>
      <c r="D3419" s="371"/>
      <c r="F3419" s="294"/>
      <c r="G3419" s="301"/>
      <c r="H3419" s="315"/>
      <c r="I3419" s="315"/>
      <c r="J3419" s="291"/>
      <c r="K3419" s="291"/>
      <c r="L3419" s="291"/>
      <c r="M3419" s="291"/>
      <c r="S3419" s="364"/>
      <c r="Z3419" s="609" t="s">
        <v>3839</v>
      </c>
      <c r="AA3419" s="2720" t="s">
        <v>6577</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0</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t="str">
        <f>IF($I3443="适用",IF(ROUND(N$3442-N3443,2)=0,"F/S",ROUND(N$3442-N3443,2)),"#N/A")</f>
        <v>F/S</v>
      </c>
      <c r="P3443" s="301"/>
      <c r="Q3443" s="290" t="str">
        <f>IF($I3443="不适用","",IF(ROUND(SUM($H$3446:$I$3452),2)=0,"请输入",""))</f>
        <v>请输入</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6532</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0</v>
      </c>
      <c r="O3454" s="345" t="str">
        <f>IF($I3454="适用",IF(ROUND(N$3442-N3454,2)=0,"F/S",ROUND(N$3442-N3454,2)),"#N/A")</f>
        <v>F/S</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1"/>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6532</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6532</v>
      </c>
      <c r="F3491" s="294"/>
      <c r="G3491" s="372" t="str">
        <f>"("&amp;B3491&amp;")"&amp;D3491</f>
        <v>(5)关联方应收应付款项——应付账款</v>
      </c>
      <c r="H3491" s="1517" t="str">
        <f>$A3491</f>
        <v>2202c</v>
      </c>
      <c r="I3491" s="343" t="s">
        <v>5612</v>
      </c>
      <c r="J3491" s="301"/>
      <c r="K3491" s="3081"/>
      <c r="L3491" s="315"/>
      <c r="M3491" s="301"/>
      <c r="N3491" s="3081"/>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6532</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1"/>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6532</v>
      </c>
      <c r="F3511" s="294"/>
      <c r="G3511" s="597" t="str">
        <f>"("&amp;B3511&amp;")"&amp;D3511</f>
        <v>(7)应付账款补充资料</v>
      </c>
      <c r="H3511" s="1517" t="str">
        <f>$A3511</f>
        <v>2202x</v>
      </c>
      <c r="I3511" s="343" t="s">
        <v>5966</v>
      </c>
      <c r="J3511" s="301" t="s">
        <v>5963</v>
      </c>
      <c r="K3511" s="2210">
        <f>H3528</f>
        <v>0</v>
      </c>
      <c r="L3511" s="345"/>
      <c r="M3511" s="301"/>
      <c r="N3511" s="3081"/>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214017.93</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f>IF($I3531="适用",IF(ROUND(N$3530-N3531,2)=0,"F/S",ROUND(N$3530-N3531,2)),"#N/A")</f>
        <v>214017.93</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6532</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f>IF($I3541="适用",IF(ROUND(N$3530-N3541,2)=0,"F/S",ROUND(N$3530-N3541,2)),"#N/A")</f>
        <v>214017.93</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1"/>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1"/>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6532</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6532</v>
      </c>
      <c r="F3588" s="294"/>
      <c r="G3588" s="372" t="str">
        <f>"("&amp;B3588&amp;")"&amp;D3588</f>
        <v>(6)关联方应收应付款项——预收款项</v>
      </c>
      <c r="H3588" s="1517" t="str">
        <f>$A3588</f>
        <v>2205c</v>
      </c>
      <c r="I3588" s="343" t="s">
        <v>5612</v>
      </c>
      <c r="J3588" s="301"/>
      <c r="K3588" s="3081"/>
      <c r="L3588" s="315"/>
      <c r="M3588" s="301"/>
      <c r="N3588" s="3081"/>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6532</v>
      </c>
      <c r="F3598" s="294"/>
      <c r="G3598" s="597" t="str">
        <f>"("&amp;B3598&amp;")"&amp;D3598</f>
        <v>(7)预收款项补充资料</v>
      </c>
      <c r="H3598" s="1517" t="str">
        <f>$A3598</f>
        <v>2205x</v>
      </c>
      <c r="I3598" s="343" t="s">
        <v>5966</v>
      </c>
      <c r="J3598" s="301" t="s">
        <v>5971</v>
      </c>
      <c r="K3598" s="2210">
        <f>H3615</f>
        <v>0</v>
      </c>
      <c r="L3598" s="345"/>
      <c r="M3598" s="301"/>
      <c r="N3598" s="3081"/>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1303107.67</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30981.74</v>
      </c>
      <c r="L3618" s="345">
        <f>IF($I3618="适用",IF(ROUND(K3617-K3618,2)=0,"F/S",ROUND(K3617-K3618,2)),"#N/A")</f>
        <v>-30981.74</v>
      </c>
      <c r="M3618" s="301" t="s">
        <v>2745</v>
      </c>
      <c r="N3618" s="2210">
        <f>H3626</f>
        <v>1303107.67</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1231417.1200000001</v>
      </c>
      <c r="I3621" s="2275">
        <v>708801.95</v>
      </c>
      <c r="J3621" s="2275">
        <v>1913125.69</v>
      </c>
      <c r="K3621" s="1477">
        <f>H3621+I3621-J3621</f>
        <v>27093.38</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18">
      <c r="A3622" s="2714"/>
      <c r="B3622" s="371">
        <v>102</v>
      </c>
      <c r="C3622" s="371"/>
      <c r="D3622" s="2716">
        <f t="shared" si="410"/>
        <v>1</v>
      </c>
      <c r="E3622" s="2721">
        <v>1</v>
      </c>
      <c r="F3622" s="294"/>
      <c r="G3622" s="1474" t="s">
        <v>3896</v>
      </c>
      <c r="H3622" s="2275">
        <v>71690.55</v>
      </c>
      <c r="I3622" s="2275">
        <v>67161.11</v>
      </c>
      <c r="J3622" s="2275">
        <v>134963.29999999999</v>
      </c>
      <c r="K3622" s="1477">
        <f>H3622+I3622-J3622</f>
        <v>3888.36</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8">
      <c r="A3623" s="2714"/>
      <c r="B3623" s="371">
        <v>103</v>
      </c>
      <c r="C3623" s="371"/>
      <c r="D3623" s="2716">
        <f t="shared" si="410"/>
        <v>1</v>
      </c>
      <c r="E3623" s="2721">
        <v>1</v>
      </c>
      <c r="F3623" s="294"/>
      <c r="G3623" s="1474" t="s">
        <v>3897</v>
      </c>
      <c r="H3623" s="2275"/>
      <c r="I3623" s="2275">
        <v>136294.04</v>
      </c>
      <c r="J3623" s="2275">
        <v>136294.04</v>
      </c>
      <c r="K3623" s="1477">
        <f>H3623+I3623-J3623</f>
        <v>0</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1303107.67</v>
      </c>
      <c r="I3626" s="1478">
        <f>SUMPRODUCT($E3620:$E3625,I3620:I3625)</f>
        <v>912257.1</v>
      </c>
      <c r="J3626" s="1478">
        <f>SUMPRODUCT($E3620:$E3625,J3620:J3625)</f>
        <v>2184383.0299999998</v>
      </c>
      <c r="K3626" s="1479">
        <f>SUMPRODUCT($E3620:$E3625,K3620:K3625)</f>
        <v>30981.74</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27093.38</v>
      </c>
      <c r="L3628" s="345"/>
      <c r="M3628" s="301" t="s">
        <v>2745</v>
      </c>
      <c r="N3628" s="2210">
        <f>H3648</f>
        <v>1231417.1200000001</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1147946.93</v>
      </c>
      <c r="I3631" s="2275">
        <v>607336.06999999995</v>
      </c>
      <c r="J3631" s="2275">
        <v>1730735.57</v>
      </c>
      <c r="K3631" s="1477">
        <f>H3631+I3631-J3631</f>
        <v>24547.43</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v>0</v>
      </c>
      <c r="I3632" s="2275">
        <v>20769.48</v>
      </c>
      <c r="J3632" s="2275">
        <v>20769.48</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v>36529.1</v>
      </c>
      <c r="I3634" s="2275">
        <v>36384</v>
      </c>
      <c r="J3634" s="2275">
        <v>70598.600000000006</v>
      </c>
      <c r="K3634" s="1477">
        <f t="shared" si="412"/>
        <v>2314.5</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v>730.58</v>
      </c>
      <c r="I3635" s="2275">
        <v>727.69</v>
      </c>
      <c r="J3635" s="2275">
        <v>1411.98</v>
      </c>
      <c r="K3635" s="1477">
        <f t="shared" si="412"/>
        <v>46.29</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v>2895.51</v>
      </c>
      <c r="I3636" s="2275">
        <v>2910.71</v>
      </c>
      <c r="J3636" s="2275">
        <v>5621.06</v>
      </c>
      <c r="K3636" s="1477">
        <f t="shared" si="412"/>
        <v>185.16</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40155.19</v>
      </c>
      <c r="I3640" s="1476">
        <f>SUMIF($E$3630:$E$3647,$G3640,I$3630:I$3647)</f>
        <v>40022.400000000001</v>
      </c>
      <c r="J3640" s="1476">
        <f>SUMIF($E$3630:$E$3647,$G3640,J$3630:J$3647)</f>
        <v>77631.64</v>
      </c>
      <c r="K3640" s="1477">
        <f>SUMIF($E$3630:$E$3647,$G3640,K$3630:K$3647)</f>
        <v>2545.9499999999998</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v>43315</v>
      </c>
      <c r="I3641" s="2275">
        <v>40674</v>
      </c>
      <c r="J3641" s="2275">
        <v>83989</v>
      </c>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1231417.1200000001</v>
      </c>
      <c r="I3648" s="1478">
        <f>SUMPRODUCT($E3630:$E3647,I3630:I3647)</f>
        <v>708801.95</v>
      </c>
      <c r="J3648" s="1478">
        <f>SUMPRODUCT($E3630:$E3647,J3630:J3647)</f>
        <v>1913125.69</v>
      </c>
      <c r="K3648" s="1479">
        <f>SUMPRODUCT($E3630:$E3647,K3630:K3647)</f>
        <v>27093.38</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1231417.1200000001</v>
      </c>
      <c r="I3651" s="2252">
        <f ca="1">HYPERLINK("#'"&amp;$G$1&amp;"'!"&amp;ADDRESS(ROW(Notes!I3621),COLUMN(Notes!I3621),4),I3621)</f>
        <v>708801.95</v>
      </c>
      <c r="J3651" s="2252">
        <f ca="1">HYPERLINK("#'"&amp;$G$1&amp;"'!"&amp;ADDRESS(ROW(Notes!J3621),COLUMN(Notes!J3621),4),J3621)</f>
        <v>1913125.69</v>
      </c>
      <c r="K3651" s="2252">
        <f ca="1">HYPERLINK("#'"&amp;$G$1&amp;"'!"&amp;ADDRESS(ROW(Notes!K3621),COLUMN(Notes!K3621),4),K3621)</f>
        <v>27093.38</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1231417.1200000001</v>
      </c>
      <c r="I3652" s="456">
        <f t="shared" ref="I3652:K3652" si="413">I3648</f>
        <v>708801.95</v>
      </c>
      <c r="J3652" s="456">
        <f t="shared" si="413"/>
        <v>1913125.69</v>
      </c>
      <c r="K3652" s="456">
        <f t="shared" si="413"/>
        <v>27093.38</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3888.36</v>
      </c>
      <c r="L3657" s="345"/>
      <c r="M3657" s="301" t="s">
        <v>2745</v>
      </c>
      <c r="N3657" s="2210">
        <f>H3672</f>
        <v>71690.55</v>
      </c>
      <c r="O3657" s="345"/>
      <c r="P3657" s="301"/>
      <c r="Q3657" s="290" t="str">
        <f>IF($I3657="不适用","",IF(ROUND(SUM($H$3660:$K$3672),2)=0,"请输入",""))</f>
        <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v>68768.22</v>
      </c>
      <c r="I3661" s="2275">
        <v>64250.400000000001</v>
      </c>
      <c r="J3661" s="2275">
        <v>129315.42</v>
      </c>
      <c r="K3661" s="1477">
        <f>H3661+I3661-J3661</f>
        <v>3703.2</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v>2922.33</v>
      </c>
      <c r="I3662" s="2275">
        <v>2910.71</v>
      </c>
      <c r="J3662" s="2275">
        <v>5647.88</v>
      </c>
      <c r="K3662" s="1477">
        <f>H3662+I3662-J3662</f>
        <v>185.16</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71690.55</v>
      </c>
      <c r="I3666" s="1476">
        <f>SUMIF($E$3659:$E$3671,$G3666,I$3659:I$3671)</f>
        <v>67161.11</v>
      </c>
      <c r="J3666" s="1476">
        <f>SUMIF($E$3659:$E$3671,$G3666,J$3659:J$3671)</f>
        <v>134963.29999999999</v>
      </c>
      <c r="K3666" s="1477">
        <f>SUMIF($E$3659:$E$3671,$G3666,K$3659:K$3671)</f>
        <v>3888.36</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6533</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71690.55</v>
      </c>
      <c r="I3672" s="1496">
        <f>SUMPRODUCT($E3659:$E3671,I3659:I3671)</f>
        <v>67161.11</v>
      </c>
      <c r="J3672" s="1496">
        <f>SUMPRODUCT($E3659:$E3671,J3659:J3671)</f>
        <v>134963.29999999999</v>
      </c>
      <c r="K3672" s="2594">
        <f>SUMPRODUCT($E3659:$E3671,K3659:K3671)</f>
        <v>3888.36</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71690.55</v>
      </c>
      <c r="I3675" s="2252">
        <f ca="1">HYPERLINK("#'"&amp;$G$1&amp;"'!"&amp;ADDRESS(ROW(Notes!I3622),COLUMN(Notes!I3622),4),I3622)</f>
        <v>67161.11</v>
      </c>
      <c r="J3675" s="2252">
        <f ca="1">HYPERLINK("#'"&amp;$G$1&amp;"'!"&amp;ADDRESS(ROW(Notes!J3622),COLUMN(Notes!J3622),4),J3622)</f>
        <v>134963.29999999999</v>
      </c>
      <c r="K3675" s="2252">
        <f ca="1">HYPERLINK("#'"&amp;$G$1&amp;"'!"&amp;ADDRESS(ROW(Notes!K3622),COLUMN(Notes!K3622),4),K3622)</f>
        <v>3888.36</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71690.55</v>
      </c>
      <c r="I3676" s="2252">
        <f ca="1">HYPERLINK("#'"&amp;$G$1&amp;"'!"&amp;ADDRESS(ROW(Notes!I3666),COLUMN(Notes!I3666),4),I3666)</f>
        <v>67161.11</v>
      </c>
      <c r="J3676" s="2252">
        <f ca="1">HYPERLINK("#'"&amp;$G$1&amp;"'!"&amp;ADDRESS(ROW(Notes!J3666),COLUMN(Notes!J3666),4),J3666)</f>
        <v>134963.29999999999</v>
      </c>
      <c r="K3676" s="2252">
        <f ca="1">HYPERLINK("#'"&amp;$G$1&amp;"'!"&amp;ADDRESS(ROW(Notes!K3666),COLUMN(Notes!K3666),4),K3666)</f>
        <v>3888.36</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6534</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6532</v>
      </c>
      <c r="F3713" s="294"/>
      <c r="G3713" s="307" t="str">
        <f>"("&amp;B3713&amp;")"&amp;D3713</f>
        <v>(5)应付职工薪酬补充资料</v>
      </c>
      <c r="H3713" s="1517" t="str">
        <f>$A3713</f>
        <v>2211x</v>
      </c>
      <c r="I3713" s="343" t="s">
        <v>5977</v>
      </c>
      <c r="J3713" s="301" t="s">
        <v>5975</v>
      </c>
      <c r="K3713" s="2210">
        <f>K3734</f>
        <v>0</v>
      </c>
      <c r="L3713" s="345"/>
      <c r="M3713" s="301" t="s">
        <v>5978</v>
      </c>
      <c r="N3713" s="2210">
        <f>H3734</f>
        <v>0</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236130.57</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6531</v>
      </c>
      <c r="F3727" s="294"/>
      <c r="G3727" s="307" t="str">
        <f>"("&amp;B3727&amp;")"&amp;D3727</f>
        <v>(1)应交税费本期增减变动</v>
      </c>
      <c r="H3727" s="1517" t="str">
        <f>$A3727</f>
        <v>2221a</v>
      </c>
      <c r="I3727" s="343" t="s">
        <v>5519</v>
      </c>
      <c r="J3727" s="301" t="s">
        <v>5517</v>
      </c>
      <c r="K3727" s="2210">
        <f>H3744</f>
        <v>0</v>
      </c>
      <c r="L3727" s="345" t="str">
        <f>IF($I3727="适用",IF(ROUND(K3726-K3727,2)=0,"F/S",ROUND(K3726-K3727,2)),"#N/A")</f>
        <v>F/S</v>
      </c>
      <c r="M3727" s="301" t="s">
        <v>5518</v>
      </c>
      <c r="N3727" s="2210">
        <f>I3744</f>
        <v>0</v>
      </c>
      <c r="O3727" s="345">
        <f>IF($I3727="适用",IF(ROUND(N3726-N3727,2)=0,"F/S",ROUND(N3726-N3727,2)),"#N/A")</f>
        <v>236130.57</v>
      </c>
      <c r="P3727" s="301"/>
      <c r="Q3727" s="290" t="str">
        <f>IF($I3727="不适用","",IF(ROUND(SUM($H$3730:$K$3744),2)=0,"请输入",""))</f>
        <v>请输入</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HYPERLINK("#'"&amp;$G$1&amp;"'!"&amp;ADDRESS(ROW(Notes!K4962),COLUMN(Notes!K4962),4),"*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6532</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7949525.4100000001</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6535</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6533</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6563</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6533</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7949525.4100000001</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0</v>
      </c>
      <c r="L3829" s="345" t="str">
        <f>IF($I3829="适用",IF(ROUND(K$3828-K3829,2)=0,"F/S",ROUND(K$3828-K3829,2)),"#N/A")</f>
        <v>F/S</v>
      </c>
      <c r="M3829" s="301" t="s">
        <v>2745</v>
      </c>
      <c r="N3829" s="2210">
        <f>I3837</f>
        <v>0</v>
      </c>
      <c r="O3829" s="345">
        <f>IF($I3829="适用",IF(ROUND(N$3828-N3829,2)=0,"F/S",ROUND(N$3828-N3829,2)),"#N/A")</f>
        <v>7949525.4100000001</v>
      </c>
      <c r="P3829" s="301"/>
      <c r="Q3829" s="290" t="str">
        <f>IF($I3829="不适用","",IF(ROUND(SUM($H$3832:$I$3837),2)=0,"请输入",""))</f>
        <v>请输入</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0</v>
      </c>
      <c r="E3832" s="2721">
        <v>1</v>
      </c>
      <c r="F3832" s="294"/>
      <c r="G3832" s="2375" t="s">
        <v>2792</v>
      </c>
      <c r="H3832" s="2275"/>
      <c r="I3832" s="2296"/>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6532</v>
      </c>
      <c r="F3839" s="294"/>
      <c r="G3839" s="372" t="str">
        <f>"("&amp;B3839&amp;")"&amp;D3839</f>
        <v>(2)其他应付款按账龄列示</v>
      </c>
      <c r="H3839" s="1517" t="str">
        <f>$A3839</f>
        <v>2241f</v>
      </c>
      <c r="I3839" s="343" t="s">
        <v>5569</v>
      </c>
      <c r="J3839" s="301" t="s">
        <v>5567</v>
      </c>
      <c r="K3839" s="2210">
        <f>H3847</f>
        <v>0</v>
      </c>
      <c r="L3839" s="345" t="str">
        <f>IF($I3839="适用",IF(ROUND(K$3828-K3839,2)=0,"F/S",ROUND(K$3828-K3839,2)),"#N/A")</f>
        <v>F/S</v>
      </c>
      <c r="M3839" s="301" t="s">
        <v>5568</v>
      </c>
      <c r="N3839" s="2210">
        <f>I3847</f>
        <v>0</v>
      </c>
      <c r="O3839" s="345">
        <f>IF($I3839="适用",IF(ROUND(N$3828-N3839,2)=0,"F/S",ROUND(N$3828-N3839,2)),"#N/A")</f>
        <v>7949525.4100000001</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0</v>
      </c>
      <c r="I3850" s="2252">
        <f ca="1">HYPERLINK("#'"&amp;$G$1&amp;"'!"&amp;ADDRESS(ROW(Notes!I3837),COLUMN(Notes!I3837),4),I3837)</f>
        <v>0</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0</v>
      </c>
      <c r="I3851" s="456">
        <f>I3837</f>
        <v>0</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1"/>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6532</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1"/>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6532</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6532</v>
      </c>
      <c r="F3886" s="294"/>
      <c r="G3886" s="372" t="str">
        <f>"("&amp;B3886&amp;")"&amp;D3886</f>
        <v>(6)关联方应收应付款项——其他应付款</v>
      </c>
      <c r="H3886" s="1517" t="str">
        <f>$A3886</f>
        <v>2241a</v>
      </c>
      <c r="I3886" s="343" t="s">
        <v>5614</v>
      </c>
      <c r="J3886" s="301"/>
      <c r="K3886" s="3081"/>
      <c r="L3886" s="315"/>
      <c r="M3886" s="301"/>
      <c r="N3886" s="3081"/>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6532</v>
      </c>
      <c r="F3896" s="294"/>
      <c r="G3896" s="597" t="str">
        <f>"("&amp;B3896&amp;")"&amp;D3896</f>
        <v>(7)其他应付款补充资料</v>
      </c>
      <c r="H3896" s="1517" t="str">
        <f>$A3896</f>
        <v>2241x</v>
      </c>
      <c r="I3896" s="343" t="s">
        <v>5965</v>
      </c>
      <c r="J3896" s="301" t="s">
        <v>5963</v>
      </c>
      <c r="K3896" s="2210">
        <f>H3913</f>
        <v>0</v>
      </c>
      <c r="L3896" s="345"/>
      <c r="M3896" s="301"/>
      <c r="N3896" s="3081"/>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6358</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6359</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6360</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6532</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6532</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6532</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6532</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6532</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6532</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6532</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33" t="s">
        <v>1673</v>
      </c>
      <c r="H4087" s="3239" t="str">
        <f>$V$3</f>
        <v>2018年12月31日</v>
      </c>
      <c r="I4087" s="3240"/>
      <c r="J4087" s="3218" t="s">
        <v>3027</v>
      </c>
      <c r="K4087" s="3218"/>
      <c r="L4087" s="3218" t="s">
        <v>3028</v>
      </c>
      <c r="M4087" s="3218"/>
      <c r="N4087" s="3239" t="str">
        <f>$V$2</f>
        <v>2019年12月31日</v>
      </c>
      <c r="O4087" s="3273"/>
      <c r="P4087" s="355" t="s">
        <v>5312</v>
      </c>
      <c r="S4087" s="364"/>
      <c r="Z4087" s="609" t="s">
        <v>4025</v>
      </c>
      <c r="AA4087" s="609" t="s">
        <v>5687</v>
      </c>
    </row>
    <row r="4088" spans="1:27" ht="18">
      <c r="A4088" s="2714"/>
      <c r="B4088" s="371"/>
      <c r="C4088" s="371"/>
      <c r="D4088" s="371"/>
      <c r="E4088" s="2716" t="s">
        <v>2749</v>
      </c>
      <c r="F4088" s="294"/>
      <c r="G4088" s="3234"/>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6532</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6534</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6532</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145" t="s">
        <v>47</v>
      </c>
      <c r="H4236" s="3149" t="s">
        <v>3494</v>
      </c>
      <c r="I4236" s="3149" t="s">
        <v>3495</v>
      </c>
      <c r="J4236" s="3177"/>
      <c r="K4236" s="355" t="s">
        <v>5314</v>
      </c>
      <c r="L4236" s="291"/>
      <c r="M4236" s="291"/>
      <c r="S4236" s="364"/>
      <c r="Z4236" s="609" t="s">
        <v>4073</v>
      </c>
      <c r="AA4236" s="609" t="s">
        <v>5691</v>
      </c>
    </row>
    <row r="4237" spans="1:27" ht="18">
      <c r="A4237" s="2714"/>
      <c r="B4237" s="371"/>
      <c r="C4237" s="371"/>
      <c r="D4237" s="371"/>
      <c r="E4237" s="586" t="s">
        <v>2749</v>
      </c>
      <c r="F4237" s="363"/>
      <c r="G4237" s="3146"/>
      <c r="H4237" s="3150"/>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6532</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6362</v>
      </c>
      <c r="P4272" s="2673" t="s">
        <v>6363</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6364</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HYPERLINK("#'"&amp;$G$1&amp;"'!"&amp;ADDRESS(ROW(Notes!H4793),COLUMN(Notes!H4793),4),"*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6532</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1000000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1"/>
      <c r="L4308" s="315"/>
      <c r="M4308" s="301"/>
      <c r="N4308" s="3081"/>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37" t="s">
        <v>1776</v>
      </c>
      <c r="H4311" s="3241" t="str">
        <f>$V$3</f>
        <v>2018年12月31日</v>
      </c>
      <c r="I4311" s="3250" t="s">
        <v>6077</v>
      </c>
      <c r="J4311" s="3250"/>
      <c r="K4311" s="3250"/>
      <c r="L4311" s="3250"/>
      <c r="M4311" s="3250"/>
      <c r="N4311" s="3286"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38"/>
      <c r="H4312" s="3242"/>
      <c r="I4312" s="2601" t="s">
        <v>4124</v>
      </c>
      <c r="J4312" s="2601" t="s">
        <v>4125</v>
      </c>
      <c r="K4312" s="2601" t="s">
        <v>4126</v>
      </c>
      <c r="L4312" s="2601" t="s">
        <v>932</v>
      </c>
      <c r="M4312" s="2601" t="s">
        <v>2939</v>
      </c>
      <c r="N4312" s="3287"/>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6568</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f>IF($I4317="适用",IF(ROUND(N4307-N4317,2)=0,"F/S",ROUND(N4307-N4317,2)),"#N/A")</f>
        <v>1000000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159" t="s">
        <v>6078</v>
      </c>
      <c r="H4320" s="3168" t="s">
        <v>6081</v>
      </c>
      <c r="I4320" s="3168"/>
      <c r="J4320" s="3168" t="s">
        <v>6082</v>
      </c>
      <c r="K4320" s="3168"/>
      <c r="L4320" s="3252" t="s">
        <v>6083</v>
      </c>
      <c r="M4320" s="3255" t="s">
        <v>6084</v>
      </c>
      <c r="N4320" s="355" t="s">
        <v>6085</v>
      </c>
      <c r="S4320" s="364"/>
      <c r="Z4320" s="609" t="s">
        <v>4108</v>
      </c>
      <c r="AA4320" s="609" t="s">
        <v>5696</v>
      </c>
    </row>
    <row r="4321" spans="1:27" ht="18">
      <c r="A4321" s="2714"/>
      <c r="B4321" s="371"/>
      <c r="C4321" s="371"/>
      <c r="D4321" s="371"/>
      <c r="E4321" s="586" t="s">
        <v>2749</v>
      </c>
      <c r="F4321" s="363"/>
      <c r="G4321" s="3160"/>
      <c r="H4321" s="2426" t="s">
        <v>6080</v>
      </c>
      <c r="I4321" s="2438" t="s">
        <v>6079</v>
      </c>
      <c r="J4321" s="2426" t="s">
        <v>6080</v>
      </c>
      <c r="K4321" s="2438" t="s">
        <v>6079</v>
      </c>
      <c r="L4321" s="3253"/>
      <c r="M4321" s="3256"/>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170" t="s">
        <v>1673</v>
      </c>
      <c r="H4343" s="3231" t="str">
        <f>$V$3</f>
        <v>2018年12月31日</v>
      </c>
      <c r="I4343" s="3232"/>
      <c r="J4343" s="3202" t="s">
        <v>3027</v>
      </c>
      <c r="K4343" s="3202"/>
      <c r="L4343" s="3202" t="s">
        <v>3028</v>
      </c>
      <c r="M4343" s="3202"/>
      <c r="N4343" s="3231" t="str">
        <f>$V$2</f>
        <v>2019年12月31日</v>
      </c>
      <c r="O4343" s="3245"/>
      <c r="P4343" s="355" t="s">
        <v>5319</v>
      </c>
      <c r="S4343" s="364"/>
      <c r="Z4343" s="609" t="s">
        <v>4137</v>
      </c>
      <c r="AA4343" s="609" t="s">
        <v>5697</v>
      </c>
    </row>
    <row r="4344" spans="1:27" ht="18">
      <c r="A4344" s="2714"/>
      <c r="B4344" s="371"/>
      <c r="C4344" s="371"/>
      <c r="D4344" s="371"/>
      <c r="E4344" s="586" t="s">
        <v>2749</v>
      </c>
      <c r="F4344" s="363"/>
      <c r="G4344" s="3171"/>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161" t="s">
        <v>47</v>
      </c>
      <c r="H4370" s="3229" t="str">
        <f>$V$3</f>
        <v>2018年12月31日</v>
      </c>
      <c r="I4370" s="3250" t="s">
        <v>2918</v>
      </c>
      <c r="J4370" s="3229" t="str">
        <f>$X$3</f>
        <v>2019年1月1日</v>
      </c>
      <c r="K4370" s="3250" t="s">
        <v>4156</v>
      </c>
      <c r="L4370" s="3250"/>
      <c r="M4370" s="3250"/>
      <c r="N4370" s="3250"/>
      <c r="O4370" s="3250"/>
      <c r="P4370" s="3293" t="str">
        <f>$V$2</f>
        <v>2019年12月31日</v>
      </c>
      <c r="Q4370" s="355" t="s">
        <v>5322</v>
      </c>
      <c r="S4370" s="364"/>
      <c r="Z4370" s="609" t="s">
        <v>4147</v>
      </c>
      <c r="AA4370" s="609" t="s">
        <v>4149</v>
      </c>
    </row>
    <row r="4371" spans="1:27" ht="36">
      <c r="A4371" s="2714"/>
      <c r="B4371" s="371"/>
      <c r="C4371" s="371"/>
      <c r="D4371" s="2716"/>
      <c r="E4371" s="2716" t="s">
        <v>2749</v>
      </c>
      <c r="F4371" s="293"/>
      <c r="G4371" s="3162"/>
      <c r="H4371" s="3230"/>
      <c r="I4371" s="3242"/>
      <c r="J4371" s="3230"/>
      <c r="K4371" s="2601" t="s">
        <v>4157</v>
      </c>
      <c r="L4371" s="2601" t="s">
        <v>4158</v>
      </c>
      <c r="M4371" s="2601" t="s">
        <v>867</v>
      </c>
      <c r="N4371" s="2601" t="s">
        <v>4159</v>
      </c>
      <c r="O4371" s="2601" t="s">
        <v>4160</v>
      </c>
      <c r="P4371" s="3294"/>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6628</v>
      </c>
      <c r="F4392" s="294"/>
      <c r="G4392" s="307" t="str">
        <f>"("&amp;B4392&amp;")"&amp;D4392</f>
        <v>(2)其他综合收益变动情况</v>
      </c>
      <c r="H4392" s="1517"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159" t="s">
        <v>47</v>
      </c>
      <c r="H4395" s="3168" t="s">
        <v>6082</v>
      </c>
      <c r="I4395" s="3168" t="s">
        <v>4156</v>
      </c>
      <c r="J4395" s="3168"/>
      <c r="K4395" s="3168"/>
      <c r="L4395" s="3168"/>
      <c r="M4395" s="3168"/>
      <c r="N4395" s="3288" t="s">
        <v>6081</v>
      </c>
      <c r="O4395" s="3292"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160"/>
      <c r="H4396" s="3251"/>
      <c r="I4396" s="2426" t="s">
        <v>4157</v>
      </c>
      <c r="J4396" s="2426" t="s">
        <v>4158</v>
      </c>
      <c r="K4396" s="2426" t="s">
        <v>867</v>
      </c>
      <c r="L4396" s="2426" t="s">
        <v>4159</v>
      </c>
      <c r="M4396" s="2426" t="s">
        <v>4160</v>
      </c>
      <c r="N4396" s="3289"/>
      <c r="O4396" s="3292"/>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6614</v>
      </c>
      <c r="F4437" s="294"/>
      <c r="G4437" s="307" t="str">
        <f>"("&amp;B4437&amp;")"&amp;D4437</f>
        <v>(2)盈余公积变动情况</v>
      </c>
      <c r="H4437" s="1517"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1747379.72</v>
      </c>
      <c r="L4456" s="342"/>
      <c r="M4456" s="306" t="s">
        <v>2741</v>
      </c>
      <c r="N4456" s="341">
        <f>VLOOKUP($A4456,Sheet_Trialbal,10,0)</f>
        <v>-2433969.27</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1747379.72</v>
      </c>
      <c r="L4457" s="345" t="str">
        <f>IF($I4457="适用",IF(ROUND(K4456-K4457,2)=0,"F/S",ROUND(K4456-K4457,2)),"#N/A")</f>
        <v>F/S</v>
      </c>
      <c r="M4457" s="301" t="s">
        <v>2745</v>
      </c>
      <c r="N4457" s="2210">
        <f>I4472</f>
        <v>5463681.9299999997</v>
      </c>
      <c r="O4457" s="345">
        <f>IF($I4457="适用",IF(ROUND(N4456-N4457,2)=0,"F/S",ROUND(N4456-N4457,2)),"#N/A")</f>
        <v>-7897651.2000000002</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1747379.72</v>
      </c>
      <c r="I4463" s="346">
        <f>VLOOKUP(6811,Sheet_Trialbal,10,0)</f>
        <v>5463681.9299999997</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1747379.72</v>
      </c>
      <c r="I4472" s="395">
        <f>SUMPRODUCT($E4459:$E4471,I4459:I4471)</f>
        <v>5463681.9299999997</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6532</v>
      </c>
      <c r="F4474" s="294"/>
      <c r="G4474" s="372" t="str">
        <f>"("&amp;B4474&amp;")"&amp;D4474</f>
        <v>(2)调整本期期初未分配利润明细情况</v>
      </c>
      <c r="H4474" s="1517" t="str">
        <f>$A4474</f>
        <v>4200b</v>
      </c>
      <c r="I4474" s="343" t="s">
        <v>5980</v>
      </c>
      <c r="J4474" s="301" t="s">
        <v>5979</v>
      </c>
      <c r="K4474" s="2210">
        <f>H4483</f>
        <v>0</v>
      </c>
      <c r="L4474" s="345"/>
      <c r="M4474" s="301"/>
      <c r="N4474" s="3081"/>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2189820.39</v>
      </c>
      <c r="L4486" s="541"/>
      <c r="M4486" s="540" t="s">
        <v>4207</v>
      </c>
      <c r="N4486" s="341">
        <f>VLOOKUP($A4486,Sheet_Trialbal,10,0)</f>
        <v>10519044.27</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1009661.4</v>
      </c>
      <c r="L4487" s="541"/>
      <c r="M4487" s="540" t="s">
        <v>4207</v>
      </c>
      <c r="N4487" s="341">
        <f>VLOOKUP($A4487,Sheet_Trialbal,10,0)</f>
        <v>4316544.09</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2189820.39</v>
      </c>
      <c r="L4488" s="349">
        <f>IF($I4488="适用",IF(ROUND(K$4485-K4488,2)=0,"F/S",ROUND(K$4485-K4488,2)),"#N/A")</f>
        <v>-2189820.39</v>
      </c>
      <c r="M4488" s="301" t="s">
        <v>4211</v>
      </c>
      <c r="N4488" s="2210">
        <f>I4496</f>
        <v>1009661.4</v>
      </c>
      <c r="O4488" s="349">
        <f>IF($I4488="适用",IF(ROUND(N$4485-N4488,2)=0,"F/S",ROUND(N$4485-N4488,2)),"#N/A")</f>
        <v>-1009661.4</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70" t="s">
        <v>2870</v>
      </c>
      <c r="H4491" s="3202" t="str">
        <f>$V$4</f>
        <v>2019年度</v>
      </c>
      <c r="I4491" s="3227"/>
      <c r="J4491" s="3202" t="str">
        <f>$V$5</f>
        <v>2018年度</v>
      </c>
      <c r="K4491" s="3228"/>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171"/>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2189820.39</v>
      </c>
      <c r="I4493" s="1476">
        <f>H4511</f>
        <v>1009661.4</v>
      </c>
      <c r="J4493" s="1476">
        <f>I4502</f>
        <v>10519044.27</v>
      </c>
      <c r="K4493" s="1477">
        <f>I4511</f>
        <v>4316544.09</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2189820.39</v>
      </c>
      <c r="I4496" s="1478">
        <f>SUMPRODUCT($E4492:$E4495,I4492:I4495)</f>
        <v>1009661.4</v>
      </c>
      <c r="J4496" s="1478">
        <f>SUMPRODUCT($E4492:$E4495,J4492:J4495)</f>
        <v>10519044.27</v>
      </c>
      <c r="K4496" s="1479">
        <f>SUMPRODUCT($E4492:$E4495,K4492:K4495)</f>
        <v>4316544.09</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2189820.39</v>
      </c>
      <c r="L4498" s="345" t="str">
        <f>IF($I4498="适用",IF(ROUND(K$4486-K4498,2)=0,"F/S",ROUND(K$4486-K4498,2)),"#N/A")</f>
        <v>F/S</v>
      </c>
      <c r="M4498" s="301" t="s">
        <v>4211</v>
      </c>
      <c r="N4498" s="2210">
        <f>I4505</f>
        <v>10519044.27</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2189820.39</v>
      </c>
      <c r="I4501" s="1477">
        <f>SUM(I4502:I4504)</f>
        <v>10519044.27</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2189820.39</v>
      </c>
      <c r="I4502" s="2296">
        <v>10519044.27</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2189820.39</v>
      </c>
      <c r="I4505" s="1479">
        <f>SUMPRODUCT($E4500:$E4504,I4500:I4504)</f>
        <v>10519044.27</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1009661.4</v>
      </c>
      <c r="L4507" s="345" t="str">
        <f>IF($I4507="适用",IF(ROUND(K$4487-K4507,2)=0,"F/S",ROUND(K$4487-K4507,2)),"#N/A")</f>
        <v>F/S</v>
      </c>
      <c r="M4507" s="301" t="s">
        <v>4211</v>
      </c>
      <c r="N4507" s="2210">
        <f>I4514</f>
        <v>4316544.09</v>
      </c>
      <c r="O4507" s="345" t="str">
        <f>IF($I4507="适用",IF(ROUND(N$4487-N4507,2)=0,"F/S",ROUND(N$4487-N4507,2)),"#N/A")</f>
        <v>F/S</v>
      </c>
      <c r="P4507" s="301"/>
      <c r="Q4507" s="290" t="str">
        <f>IF($I4507="不适用","",IF(ROUND(SUM($H$4510:$I$4514),2)=0,"请输入",""))</f>
        <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1009661.4</v>
      </c>
      <c r="I4510" s="1477">
        <f>SUM(I4511:I4513)</f>
        <v>4316544.09</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v>1009661.4</v>
      </c>
      <c r="I4511" s="2296">
        <v>4316544.09</v>
      </c>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1009661.4</v>
      </c>
      <c r="I4514" s="1479">
        <f>SUMPRODUCT($E4509:$E4513,I4509:I4513)</f>
        <v>4316544.09</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1180158.99</v>
      </c>
      <c r="L4516" s="345" t="str">
        <f>IF($I4516="适用",IF(ROUND(H$4502-H$4511-K4516,2)=0,"F/S",ROUND(H$4502-H$4511-K4516,2)),"#N/A")</f>
        <v>F/S</v>
      </c>
      <c r="M4516" s="301" t="s">
        <v>4211</v>
      </c>
      <c r="N4516" s="2210">
        <f>J4531-K4531</f>
        <v>6202500.1799999997</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4"/>
      <c r="B4519" s="371"/>
      <c r="C4519" s="371"/>
      <c r="D4519" s="371"/>
      <c r="E4519" s="586" t="s">
        <v>2749</v>
      </c>
      <c r="F4519" s="363"/>
      <c r="G4519" s="3145" t="s">
        <v>6089</v>
      </c>
      <c r="H4519" s="3149" t="str">
        <f>$V$4</f>
        <v>2019年度</v>
      </c>
      <c r="I4519" s="3254"/>
      <c r="J4519" s="3149" t="str">
        <f>$V$5</f>
        <v>2018年度</v>
      </c>
      <c r="K4519" s="3226"/>
      <c r="L4519" s="355" t="s">
        <v>5326</v>
      </c>
      <c r="M4519" s="291"/>
      <c r="N4519" s="291"/>
      <c r="O4519" s="291"/>
      <c r="S4519" s="364"/>
      <c r="Z4519" s="609" t="s">
        <v>4221</v>
      </c>
      <c r="AA4519" s="609" t="s">
        <v>6578</v>
      </c>
    </row>
    <row r="4520" spans="1:27" ht="18">
      <c r="A4520" s="2714"/>
      <c r="B4520" s="371"/>
      <c r="C4520" s="371"/>
      <c r="D4520" s="371"/>
      <c r="E4520" s="586" t="s">
        <v>2749</v>
      </c>
      <c r="F4520" s="363"/>
      <c r="G4520" s="3146"/>
      <c r="H4520" s="2443" t="s">
        <v>4218</v>
      </c>
      <c r="I4520" s="2443" t="s">
        <v>3411</v>
      </c>
      <c r="J4520" s="2443" t="s">
        <v>4218</v>
      </c>
      <c r="K4520" s="2450" t="s">
        <v>3411</v>
      </c>
      <c r="L4520" s="291"/>
      <c r="M4520" s="291"/>
      <c r="N4520" s="291"/>
      <c r="O4520" s="291"/>
      <c r="S4520" s="364"/>
      <c r="Z4520" s="609" t="s">
        <v>4221</v>
      </c>
      <c r="AA4520" s="609" t="s">
        <v>6578</v>
      </c>
    </row>
    <row r="4521" spans="1:27" ht="18">
      <c r="A4521" s="2714"/>
      <c r="B4521" s="371">
        <v>101</v>
      </c>
      <c r="C4521" s="371" t="s">
        <v>2791</v>
      </c>
      <c r="D4521" s="2716">
        <f t="shared" ref="D4521:D4531" si="505">IF(OR(G4521="*",G4521="",G4521=0),0,COUNTIF($G$4521:$G$4531,G4521))</f>
        <v>1</v>
      </c>
      <c r="E4521" s="2721">
        <v>1</v>
      </c>
      <c r="F4521" s="294"/>
      <c r="G4521" s="2448" t="s">
        <v>6839</v>
      </c>
      <c r="H4521" s="2275">
        <f>H4502</f>
        <v>2189820.39</v>
      </c>
      <c r="I4521" s="2275">
        <f>H4511</f>
        <v>1009661.4</v>
      </c>
      <c r="J4521" s="2275">
        <f>I4502</f>
        <v>10519044.27</v>
      </c>
      <c r="K4521" s="2296">
        <f>I4511</f>
        <v>4316544.09</v>
      </c>
      <c r="L4521" s="291"/>
      <c r="M4521" s="291"/>
      <c r="N4521" s="291"/>
      <c r="O4521" s="291"/>
      <c r="S4521" s="364"/>
      <c r="Z4521" s="609" t="s">
        <v>4221</v>
      </c>
      <c r="AA4521" s="609" t="s">
        <v>6578</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6578</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6578</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6578</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6578</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6578</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6578</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6578</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6578</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6578</v>
      </c>
    </row>
    <row r="4531" spans="1:27" ht="18.75" thickBot="1">
      <c r="A4531" s="2714"/>
      <c r="B4531" s="371"/>
      <c r="C4531" s="371"/>
      <c r="D4531" s="2716">
        <f t="shared" si="505"/>
        <v>1</v>
      </c>
      <c r="E4531" s="2721" t="s">
        <v>2751</v>
      </c>
      <c r="F4531" s="294"/>
      <c r="G4531" s="2234" t="s">
        <v>2752</v>
      </c>
      <c r="H4531" s="2235">
        <f>SUMPRODUCT($E4520:$E4530,H4520:H4530)</f>
        <v>2189820.39</v>
      </c>
      <c r="I4531" s="2235">
        <f>SUMPRODUCT($E4520:$E4530,I4520:I4530)</f>
        <v>1009661.4</v>
      </c>
      <c r="J4531" s="2235">
        <f>SUMPRODUCT($E4520:$E4530,J4520:J4530)</f>
        <v>10519044.27</v>
      </c>
      <c r="K4531" s="2236">
        <f>SUMPRODUCT($E4520:$E4530,K4520:K4530)</f>
        <v>4316544.09</v>
      </c>
      <c r="L4531" s="291"/>
      <c r="M4531" s="291"/>
      <c r="N4531" s="291"/>
      <c r="O4531" s="291"/>
      <c r="S4531" s="364"/>
      <c r="Z4531" s="609" t="s">
        <v>4221</v>
      </c>
      <c r="AA4531" s="609" t="s">
        <v>6578</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4"/>
      <c r="B4534" s="371"/>
      <c r="C4534" s="371" t="s">
        <v>2565</v>
      </c>
      <c r="D4534" s="371"/>
      <c r="F4534" s="294"/>
      <c r="G4534" s="316" t="str">
        <f>$G$4502</f>
        <v>其中：主营业务收入</v>
      </c>
      <c r="H4534" s="2252">
        <f ca="1">HYPERLINK("#'"&amp;$G$1&amp;"'!"&amp;ADDRESS(ROW(Notes!H4502),COLUMN(Notes!H4502),4),$H$4502)</f>
        <v>2189820.39</v>
      </c>
      <c r="I4534" s="2252">
        <f ca="1">HYPERLINK("#'"&amp;$G$1&amp;"'!"&amp;ADDRESS(ROW(Notes!H4511),COLUMN(Notes!H4511),4),$H$4511)</f>
        <v>1009661.4</v>
      </c>
      <c r="J4534" s="2252">
        <f ca="1">HYPERLINK("#'"&amp;$G$1&amp;"'!"&amp;ADDRESS(ROW(Notes!I4502),COLUMN(Notes!I4502),4),$I$4502)</f>
        <v>10519044.27</v>
      </c>
      <c r="K4534" s="2252">
        <f ca="1">HYPERLINK("#'"&amp;$G$1&amp;"'!"&amp;ADDRESS(ROW(Notes!I4511),COLUMN(Notes!I4511),4),$I$4511)</f>
        <v>4316544.09</v>
      </c>
      <c r="L4534" s="291"/>
      <c r="M4534" s="291"/>
      <c r="N4534" s="291"/>
      <c r="O4534" s="291"/>
      <c r="S4534" s="364"/>
      <c r="Z4534" s="609" t="s">
        <v>4221</v>
      </c>
      <c r="AA4534" s="609" t="s">
        <v>6578</v>
      </c>
    </row>
    <row r="4535" spans="1:27" ht="18">
      <c r="A4535" s="2714"/>
      <c r="B4535" s="371"/>
      <c r="C4535" s="371" t="s">
        <v>2565</v>
      </c>
      <c r="D4535" s="371"/>
      <c r="F4535" s="294"/>
      <c r="G4535" s="316" t="s">
        <v>3003</v>
      </c>
      <c r="H4535" s="2252">
        <f ca="1">HYPERLINK("#'"&amp;$G$1&amp;"'!"&amp;ADDRESS(ROW(Notes!H4531),COLUMN(Notes!H4531),4),H4531)</f>
        <v>2189820.39</v>
      </c>
      <c r="I4535" s="2252">
        <f ca="1">HYPERLINK("#'"&amp;$G$1&amp;"'!"&amp;ADDRESS(ROW(Notes!I4531),COLUMN(Notes!I4531),4),I4531)</f>
        <v>1009661.4</v>
      </c>
      <c r="J4535" s="2252">
        <f ca="1">HYPERLINK("#'"&amp;$G$1&amp;"'!"&amp;ADDRESS(ROW(Notes!J4531),COLUMN(Notes!J4531),4),J4531)</f>
        <v>10519044.27</v>
      </c>
      <c r="K4535" s="2252">
        <f ca="1">HYPERLINK("#'"&amp;$G$1&amp;"'!"&amp;ADDRESS(ROW(Notes!K4531),COLUMN(Notes!K4531),4),K4531)</f>
        <v>4316544.09</v>
      </c>
      <c r="L4535" s="291"/>
      <c r="M4535" s="291"/>
      <c r="N4535" s="291"/>
      <c r="O4535" s="291"/>
      <c r="S4535" s="364"/>
      <c r="Z4535" s="609" t="s">
        <v>4221</v>
      </c>
      <c r="AA4535" s="609" t="s">
        <v>6578</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f>IF($I4540="适用",IF(ROUND(H$4502-H$4511-K4540,2)=0,"F/S",ROUND(H$4502-H$4511-K4540,2)),"#N/A")</f>
        <v>1180158.99</v>
      </c>
      <c r="M4540" s="301" t="s">
        <v>4211</v>
      </c>
      <c r="N4540" s="2210">
        <f>J4554-K4554</f>
        <v>0</v>
      </c>
      <c r="O4540" s="345">
        <f>IF($I4540="适用",IF(ROUND(I$4502-I$4511-N4540,2)=0,"F/S",ROUND(I$4502-I$4511-N4540,2)),"#N/A")</f>
        <v>6202500.1799999997</v>
      </c>
      <c r="P4540" s="301"/>
      <c r="Q4540" s="290" t="str">
        <f>IF($I4540="不适用","",IF(ROUND(SUM($H$4545:$K$4554),2)=0,"请输入",""))</f>
        <v>请输入</v>
      </c>
      <c r="S4540" s="364"/>
      <c r="Z4540" s="609" t="s">
        <v>4221</v>
      </c>
      <c r="AA4540" s="609" t="s">
        <v>6578</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4"/>
      <c r="B4543" s="371"/>
      <c r="C4543" s="371"/>
      <c r="D4543" s="371"/>
      <c r="E4543" s="586" t="s">
        <v>2749</v>
      </c>
      <c r="F4543" s="363"/>
      <c r="G4543" s="3145" t="s">
        <v>1861</v>
      </c>
      <c r="H4543" s="3149" t="str">
        <f>$V$4</f>
        <v>2019年度</v>
      </c>
      <c r="I4543" s="3254"/>
      <c r="J4543" s="3149" t="str">
        <f>$V$5</f>
        <v>2018年度</v>
      </c>
      <c r="K4543" s="3226"/>
      <c r="L4543" s="355" t="s">
        <v>5326</v>
      </c>
      <c r="M4543" s="291"/>
      <c r="N4543" s="291"/>
      <c r="O4543" s="291"/>
      <c r="S4543" s="364"/>
      <c r="Z4543" s="609" t="s">
        <v>4221</v>
      </c>
      <c r="AA4543" s="609" t="s">
        <v>6578</v>
      </c>
    </row>
    <row r="4544" spans="1:27" ht="18">
      <c r="A4544" s="2714"/>
      <c r="B4544" s="371"/>
      <c r="C4544" s="371"/>
      <c r="D4544" s="371"/>
      <c r="E4544" s="586" t="s">
        <v>2749</v>
      </c>
      <c r="F4544" s="363"/>
      <c r="G4544" s="3146"/>
      <c r="H4544" s="2443" t="s">
        <v>4218</v>
      </c>
      <c r="I4544" s="2443" t="s">
        <v>3411</v>
      </c>
      <c r="J4544" s="2443" t="s">
        <v>4218</v>
      </c>
      <c r="K4544" s="2450" t="s">
        <v>3411</v>
      </c>
      <c r="L4544" s="291"/>
      <c r="M4544" s="291"/>
      <c r="N4544" s="291"/>
      <c r="O4544" s="291"/>
      <c r="S4544" s="364"/>
      <c r="Z4544" s="609" t="s">
        <v>4221</v>
      </c>
      <c r="AA4544" s="609" t="s">
        <v>6578</v>
      </c>
    </row>
    <row r="4545" spans="1:27" ht="18">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6578</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6578</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6578</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6578</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6578</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6578</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6578</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6578</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6578</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6578</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4"/>
      <c r="B4557" s="371"/>
      <c r="C4557" s="371" t="s">
        <v>2565</v>
      </c>
      <c r="D4557" s="371"/>
      <c r="F4557" s="294"/>
      <c r="G4557" s="316" t="str">
        <f>$G$4502</f>
        <v>其中：主营业务收入</v>
      </c>
      <c r="H4557" s="2252">
        <f ca="1">HYPERLINK("#'"&amp;$G$1&amp;"'!"&amp;ADDRESS(ROW(Notes!H4502),COLUMN(Notes!H4502),4),$H$4502)</f>
        <v>2189820.39</v>
      </c>
      <c r="I4557" s="2252">
        <f ca="1">HYPERLINK("#'"&amp;$G$1&amp;"'!"&amp;ADDRESS(ROW(Notes!H4511),COLUMN(Notes!H4511),4),$H$4511)</f>
        <v>1009661.4</v>
      </c>
      <c r="J4557" s="2252">
        <f ca="1">HYPERLINK("#'"&amp;$G$1&amp;"'!"&amp;ADDRESS(ROW(Notes!I4502),COLUMN(Notes!I4502),4),$I$4502)</f>
        <v>10519044.27</v>
      </c>
      <c r="K4557" s="2252">
        <f ca="1">HYPERLINK("#'"&amp;$G$1&amp;"'!"&amp;ADDRESS(ROW(Notes!I4511),COLUMN(Notes!I4511),4),$I$4511)</f>
        <v>4316544.09</v>
      </c>
      <c r="L4557" s="291"/>
      <c r="M4557" s="291"/>
      <c r="N4557" s="291"/>
      <c r="O4557" s="291"/>
      <c r="S4557" s="364"/>
      <c r="Z4557" s="609" t="s">
        <v>4221</v>
      </c>
      <c r="AA4557" s="609" t="s">
        <v>6578</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6578</v>
      </c>
    </row>
    <row r="4559" spans="1:27" ht="18.75" thickBot="1">
      <c r="A4559" s="2714"/>
      <c r="B4559" s="371"/>
      <c r="C4559" s="371" t="s">
        <v>2565</v>
      </c>
      <c r="D4559" s="371"/>
      <c r="F4559" s="294"/>
      <c r="G4559" s="457" t="s">
        <v>2757</v>
      </c>
      <c r="H4559" s="458">
        <f ca="1">IF(AND(H4557="",H4558=""),"",ROUND(H4557-H4558,2))</f>
        <v>2189820.39</v>
      </c>
      <c r="I4559" s="458">
        <f ca="1">IF(AND(I4557="",I4558=""),"",ROUND(I4557-I4558,2))</f>
        <v>1009661.4</v>
      </c>
      <c r="J4559" s="458">
        <f ca="1">IF(AND(J4557="",J4558=""),"",ROUND(J4557-J4558,2))</f>
        <v>10519044.27</v>
      </c>
      <c r="K4559" s="458">
        <f ca="1">IF(AND(K4557="",K4558=""),"",ROUND(K4557-K4558,2))</f>
        <v>4316544.09</v>
      </c>
      <c r="L4559" s="291"/>
      <c r="M4559" s="291"/>
      <c r="N4559" s="291"/>
      <c r="O4559" s="291"/>
      <c r="S4559" s="364"/>
      <c r="Z4559" s="609" t="s">
        <v>4221</v>
      </c>
      <c r="AA4559" s="609" t="s">
        <v>6578</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4"/>
      <c r="B4561" s="371"/>
      <c r="C4561" s="371" t="s">
        <v>2565</v>
      </c>
      <c r="D4561" s="371"/>
      <c r="F4561" s="294"/>
      <c r="G4561" s="460" t="s">
        <v>2759</v>
      </c>
      <c r="H4561" s="461"/>
      <c r="I4561" s="461"/>
      <c r="J4561" s="461"/>
      <c r="K4561" s="605">
        <f ca="1">SUMIF($H$4560:$K$4560,"&lt;&gt;√",$H$4559:$K$4559)</f>
        <v>18035070.149999999</v>
      </c>
      <c r="L4561" s="475" t="str">
        <f ca="1">IF(OR(K4561=0,K4561=""),"√","？")</f>
        <v>？</v>
      </c>
      <c r="M4561" s="291"/>
      <c r="N4561" s="291"/>
      <c r="O4561" s="291"/>
      <c r="S4561" s="364"/>
      <c r="Z4561" s="609" t="s">
        <v>4221</v>
      </c>
      <c r="AA4561" s="609" t="s">
        <v>6578</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f>IF($I4563="适用",IF(ROUND(H$4502-H$4511-K4563,2)=0,"F/S",ROUND(H$4502-H$4511-K4563,2)),"#N/A")</f>
        <v>1180158.99</v>
      </c>
      <c r="M4563" s="301" t="s">
        <v>4211</v>
      </c>
      <c r="N4563" s="2210">
        <f>J4573-K4573</f>
        <v>0</v>
      </c>
      <c r="O4563" s="345">
        <f>IF($I4563="适用",IF(ROUND(I$4502-I$4511-N4563,2)=0,"F/S",ROUND(I$4502-I$4511-N4563,2)),"#N/A")</f>
        <v>6202500.1799999997</v>
      </c>
      <c r="P4563" s="301"/>
      <c r="Q4563" s="290" t="str">
        <f>IF($I4563="不适用","",IF(ROUND(SUM($H$4568:$K$4573),2)=0,"请输入",""))</f>
        <v>请输入</v>
      </c>
      <c r="S4563" s="364"/>
      <c r="Z4563" s="609" t="s">
        <v>4221</v>
      </c>
      <c r="AA4563" s="609" t="s">
        <v>6578</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4"/>
      <c r="B4566" s="371"/>
      <c r="C4566" s="371"/>
      <c r="D4566" s="371"/>
      <c r="E4566" s="586" t="s">
        <v>2749</v>
      </c>
      <c r="F4566" s="363"/>
      <c r="G4566" s="3145" t="s">
        <v>1865</v>
      </c>
      <c r="H4566" s="3149" t="str">
        <f>$V$4</f>
        <v>2019年度</v>
      </c>
      <c r="I4566" s="3254"/>
      <c r="J4566" s="3149" t="str">
        <f>$V$5</f>
        <v>2018年度</v>
      </c>
      <c r="K4566" s="3226"/>
      <c r="L4566" s="355" t="s">
        <v>5326</v>
      </c>
      <c r="M4566" s="291"/>
      <c r="N4566" s="291"/>
      <c r="O4566" s="291"/>
      <c r="S4566" s="364"/>
      <c r="Z4566" s="609" t="s">
        <v>4221</v>
      </c>
      <c r="AA4566" s="609" t="s">
        <v>6578</v>
      </c>
    </row>
    <row r="4567" spans="1:27" ht="18">
      <c r="A4567" s="2714"/>
      <c r="B4567" s="371"/>
      <c r="C4567" s="371"/>
      <c r="D4567" s="371"/>
      <c r="E4567" s="586" t="s">
        <v>2749</v>
      </c>
      <c r="F4567" s="363"/>
      <c r="G4567" s="3146"/>
      <c r="H4567" s="2443" t="s">
        <v>4218</v>
      </c>
      <c r="I4567" s="2443" t="s">
        <v>3411</v>
      </c>
      <c r="J4567" s="2443" t="s">
        <v>4218</v>
      </c>
      <c r="K4567" s="2450" t="s">
        <v>3411</v>
      </c>
      <c r="L4567" s="291"/>
      <c r="M4567" s="291"/>
      <c r="N4567" s="291"/>
      <c r="O4567" s="291"/>
      <c r="S4567" s="364"/>
      <c r="Z4567" s="609" t="s">
        <v>4221</v>
      </c>
      <c r="AA4567" s="609" t="s">
        <v>6578</v>
      </c>
    </row>
    <row r="4568" spans="1:27" ht="18">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6578</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6578</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6578</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6578</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6578</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6578</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4"/>
      <c r="B4576" s="371"/>
      <c r="C4576" s="371" t="s">
        <v>2565</v>
      </c>
      <c r="D4576" s="371"/>
      <c r="F4576" s="294"/>
      <c r="G4576" s="316" t="str">
        <f>$G$4502</f>
        <v>其中：主营业务收入</v>
      </c>
      <c r="H4576" s="2252">
        <f ca="1">HYPERLINK("#'"&amp;$G$1&amp;"'!"&amp;ADDRESS(ROW(Notes!H4502),COLUMN(Notes!H4502),4),$H$4502)</f>
        <v>2189820.39</v>
      </c>
      <c r="I4576" s="2252">
        <f ca="1">HYPERLINK("#'"&amp;$G$1&amp;"'!"&amp;ADDRESS(ROW(Notes!H4511),COLUMN(Notes!H4511),4),$H$4511)</f>
        <v>1009661.4</v>
      </c>
      <c r="J4576" s="2252">
        <f ca="1">HYPERLINK("#'"&amp;$G$1&amp;"'!"&amp;ADDRESS(ROW(Notes!I4502),COLUMN(Notes!I4502),4),$I$4502)</f>
        <v>10519044.27</v>
      </c>
      <c r="K4576" s="2252">
        <f ca="1">HYPERLINK("#'"&amp;$G$1&amp;"'!"&amp;ADDRESS(ROW(Notes!I4511),COLUMN(Notes!I4511),4),$I$4511)</f>
        <v>4316544.09</v>
      </c>
      <c r="L4576" s="291"/>
      <c r="M4576" s="291"/>
      <c r="N4576" s="291"/>
      <c r="O4576" s="291"/>
      <c r="S4576" s="364"/>
      <c r="Z4576" s="609" t="s">
        <v>4221</v>
      </c>
      <c r="AA4576" s="609" t="s">
        <v>6578</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6578</v>
      </c>
    </row>
    <row r="4578" spans="1:27" ht="18.75" thickBot="1">
      <c r="A4578" s="2714"/>
      <c r="B4578" s="371"/>
      <c r="C4578" s="371" t="s">
        <v>2565</v>
      </c>
      <c r="D4578" s="371"/>
      <c r="F4578" s="294"/>
      <c r="G4578" s="457" t="s">
        <v>2757</v>
      </c>
      <c r="H4578" s="458">
        <f ca="1">IF(AND(H4576="",H4577=""),"",ROUND(H4576-H4577,2))</f>
        <v>2189820.39</v>
      </c>
      <c r="I4578" s="458">
        <f ca="1">IF(AND(I4576="",I4577=""),"",ROUND(I4576-I4577,2))</f>
        <v>1009661.4</v>
      </c>
      <c r="J4578" s="458">
        <f ca="1">IF(AND(J4576="",J4577=""),"",ROUND(J4576-J4577,2))</f>
        <v>10519044.27</v>
      </c>
      <c r="K4578" s="458">
        <f ca="1">IF(AND(K4576="",K4577=""),"",ROUND(K4576-K4577,2))</f>
        <v>4316544.09</v>
      </c>
      <c r="L4578" s="291"/>
      <c r="M4578" s="291"/>
      <c r="N4578" s="291"/>
      <c r="O4578" s="291"/>
      <c r="S4578" s="364"/>
      <c r="Z4578" s="609" t="s">
        <v>4221</v>
      </c>
      <c r="AA4578" s="609" t="s">
        <v>6578</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4"/>
      <c r="B4580" s="371"/>
      <c r="C4580" s="371" t="s">
        <v>2565</v>
      </c>
      <c r="D4580" s="371"/>
      <c r="F4580" s="294"/>
      <c r="G4580" s="460" t="s">
        <v>2759</v>
      </c>
      <c r="H4580" s="461"/>
      <c r="I4580" s="461"/>
      <c r="J4580" s="461"/>
      <c r="K4580" s="605">
        <f ca="1">SUMIF($H$4579:$K$4579,"&lt;&gt;√",$H$4578:$K$4578)</f>
        <v>18035070.149999999</v>
      </c>
      <c r="L4580" s="475" t="str">
        <f ca="1">IF(OR(K4580=0,K4580=""),"√","？")</f>
        <v>？</v>
      </c>
      <c r="M4580" s="291"/>
      <c r="N4580" s="291"/>
      <c r="O4580" s="291"/>
      <c r="S4580" s="364"/>
      <c r="Z4580" s="609" t="s">
        <v>4221</v>
      </c>
      <c r="AA4580" s="609" t="s">
        <v>6578</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4" t="s">
        <v>1868</v>
      </c>
      <c r="B4582" s="371">
        <v>6</v>
      </c>
      <c r="C4582" s="371"/>
      <c r="D4582" s="2716" t="str">
        <f>VLOOKUP($A4582,Sheet_NoteList,2,0)</f>
        <v>本期销售前十名情况</v>
      </c>
      <c r="E4582" s="2716" t="s">
        <v>6534</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6532</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6532</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6532</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147093.37</v>
      </c>
      <c r="L4632" s="342"/>
      <c r="M4632" s="306" t="s">
        <v>4207</v>
      </c>
      <c r="N4632" s="341">
        <f>VLOOKUP($A4632,Sheet_Trialbal,10,0)</f>
        <v>42462.27</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147093.37</v>
      </c>
      <c r="L4633" s="345" t="str">
        <f>IF($I4633="适用",IF(ROUND(K4632-K4633,2)=0,"F/S",ROUND(K4632-K4633,2)),"#N/A")</f>
        <v>F/S</v>
      </c>
      <c r="M4633" s="301" t="s">
        <v>4211</v>
      </c>
      <c r="N4633" s="2210">
        <f>I4650</f>
        <v>0</v>
      </c>
      <c r="O4633" s="345">
        <f>IF($I4633="适用",IF(ROUND(N4632-N4633,2)=0,"F/S",ROUND(N4632-N4633,2)),"#N/A")</f>
        <v>42462.27</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6367</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27236.25</v>
      </c>
      <c r="I4637" s="2296"/>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11236.92</v>
      </c>
      <c r="I4638" s="2296"/>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8217.59</v>
      </c>
      <c r="I4639" s="2296"/>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v>3288.82</v>
      </c>
      <c r="I4644" s="2296"/>
      <c r="J4644" s="291"/>
      <c r="K4644" s="456"/>
      <c r="L4644" s="456"/>
      <c r="M4644" s="456"/>
      <c r="N4644" s="2666"/>
      <c r="S4644" s="364"/>
      <c r="Z4644" s="609" t="s">
        <v>4247</v>
      </c>
      <c r="AA4644" s="609" t="s">
        <v>5705</v>
      </c>
    </row>
    <row r="4645" spans="1:27" ht="18">
      <c r="A4645" s="2714"/>
      <c r="B4645" s="371">
        <v>111</v>
      </c>
      <c r="C4645" s="371" t="s">
        <v>2791</v>
      </c>
      <c r="D4645" s="2716">
        <f t="shared" si="512"/>
        <v>1</v>
      </c>
      <c r="E4645" s="2721">
        <v>1</v>
      </c>
      <c r="F4645" s="294"/>
      <c r="G4645" s="2448" t="s">
        <v>6823</v>
      </c>
      <c r="H4645" s="2275"/>
      <c r="I4645" s="2296"/>
      <c r="J4645" s="291"/>
      <c r="K4645" s="456"/>
      <c r="L4645" s="456"/>
      <c r="M4645" s="456"/>
      <c r="N4645" s="2666"/>
      <c r="S4645" s="364"/>
      <c r="Z4645" s="609" t="s">
        <v>4247</v>
      </c>
      <c r="AA4645" s="609" t="s">
        <v>5705</v>
      </c>
    </row>
    <row r="4646" spans="1:27" ht="18">
      <c r="A4646" s="2714"/>
      <c r="B4646" s="371">
        <v>112</v>
      </c>
      <c r="C4646" s="371" t="s">
        <v>2791</v>
      </c>
      <c r="D4646" s="2716">
        <f t="shared" si="512"/>
        <v>1</v>
      </c>
      <c r="E4646" s="2721">
        <v>1</v>
      </c>
      <c r="F4646" s="294"/>
      <c r="G4646" s="2448" t="s">
        <v>6824</v>
      </c>
      <c r="H4646" s="2275">
        <v>97113.79</v>
      </c>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147093.37</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6532</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494261.11</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f>IF($I4663="适用",IF(ROUND(N4662-N4663,2)&gt;=0,IF(N4662&lt;&gt;0,N4663/N4662,""),"#Logical!"),"#N/A")</f>
        <v>0</v>
      </c>
      <c r="P4663" s="301"/>
      <c r="Q4663" s="290" t="str">
        <f>IF($I4663="不适用","",IF(ROUND(SUM($H$4666:$I$4681),2)=0,"请输入",""))</f>
        <v>请输入</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5706</v>
      </c>
    </row>
    <row r="4667" spans="1:27" ht="18">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5706</v>
      </c>
    </row>
    <row r="4668" spans="1:27" ht="18">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5706</v>
      </c>
    </row>
    <row r="4669" spans="1:27" ht="18">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5706</v>
      </c>
    </row>
    <row r="4670" spans="1:27" ht="18">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5706</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6532</v>
      </c>
      <c r="F4683" s="294"/>
      <c r="G4683" s="307" t="str">
        <f>"("&amp;B4683&amp;")"&amp;D4683</f>
        <v>(2)销售费用补充资料</v>
      </c>
      <c r="H4683" s="1517" t="str">
        <f>$A4683</f>
        <v>6601x</v>
      </c>
      <c r="I4683" s="343" t="s">
        <v>5965</v>
      </c>
      <c r="J4683" s="301" t="s">
        <v>5984</v>
      </c>
      <c r="K4683" s="2210">
        <f>H4698</f>
        <v>750</v>
      </c>
      <c r="L4683" s="1535" t="str">
        <f>IF($I4683="适用",IF(ROUND(K4682-K4683,2)&gt;=0,IF(K4682&lt;&gt;0,K4683/K4682,""),"#Logical!"),"#N/A")</f>
        <v>#Logical!</v>
      </c>
      <c r="M4683" s="301" t="s">
        <v>5985</v>
      </c>
      <c r="N4683" s="2210">
        <f>I4698</f>
        <v>0</v>
      </c>
      <c r="O4683" s="1535" t="str">
        <f>IF($I4683="适用",IF(ROUND(N4682-N4683,2)&gt;=0,IF(N4682&lt;&gt;0,N4683/N4682,""),"#Logical!"),"#N/A")</f>
        <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419878.21</v>
      </c>
      <c r="L4693" s="342"/>
      <c r="M4693" s="306" t="s">
        <v>4207</v>
      </c>
      <c r="N4693" s="341">
        <f>VLOOKUP($A4693,Sheet_Trialbal,10,0)</f>
        <v>6359.38</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419878.21</v>
      </c>
      <c r="L4694" s="1535">
        <f>IF($I4694="适用",IF(ROUND(K4693-K4694,2)&gt;=0,IF(K4693&lt;&gt;0,K4694/K4693,""),"#Logical!"),"#N/A")</f>
        <v>1</v>
      </c>
      <c r="M4694" s="301" t="s">
        <v>4257</v>
      </c>
      <c r="N4694" s="2210">
        <f>I4712</f>
        <v>0</v>
      </c>
      <c r="O4694" s="1535">
        <f>IF($I4694="适用",IF(ROUND(N4693-N4694,2)&gt;=0,IF(N4693&lt;&gt;0,N4694/N4693,""),"#Logical!"),"#N/A")</f>
        <v>0</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6825</v>
      </c>
      <c r="H4697" s="2275">
        <v>175286.32</v>
      </c>
      <c r="I4697" s="2296"/>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6826</v>
      </c>
      <c r="H4698" s="2275">
        <v>750</v>
      </c>
      <c r="I4698" s="2296"/>
      <c r="J4698" s="291"/>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6827</v>
      </c>
      <c r="H4699" s="2275">
        <v>23997.93</v>
      </c>
      <c r="I4699" s="2296"/>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6828</v>
      </c>
      <c r="H4700" s="2275">
        <v>219843.96</v>
      </c>
      <c r="I4700" s="2296"/>
      <c r="J4700" s="291"/>
      <c r="K4700" s="291"/>
      <c r="L4700" s="291"/>
      <c r="M4700" s="291"/>
      <c r="S4700" s="364"/>
      <c r="Z4700" s="609" t="s">
        <v>4260</v>
      </c>
      <c r="AA4700" s="609" t="s">
        <v>5707</v>
      </c>
    </row>
    <row r="4701" spans="1:27" ht="18">
      <c r="A4701" s="2714"/>
      <c r="B4701" s="371">
        <v>105</v>
      </c>
      <c r="C4701" s="371" t="s">
        <v>2791</v>
      </c>
      <c r="D4701" s="2716">
        <f t="shared" si="517"/>
        <v>0</v>
      </c>
      <c r="E4701" s="2721">
        <v>1</v>
      </c>
      <c r="F4701" s="294"/>
      <c r="G4701" s="2448" t="s">
        <v>2792</v>
      </c>
      <c r="H4701" s="2275"/>
      <c r="I4701" s="2296"/>
      <c r="J4701" s="291"/>
      <c r="K4701" s="291"/>
      <c r="L4701" s="291"/>
      <c r="M4701" s="291"/>
      <c r="S4701" s="364"/>
      <c r="Z4701" s="609" t="s">
        <v>4260</v>
      </c>
      <c r="AA4701" s="609" t="s">
        <v>5707</v>
      </c>
    </row>
    <row r="4702" spans="1:27" ht="18">
      <c r="A4702" s="2714"/>
      <c r="B4702" s="371">
        <v>106</v>
      </c>
      <c r="C4702" s="371" t="s">
        <v>2791</v>
      </c>
      <c r="D4702" s="2716">
        <f t="shared" si="517"/>
        <v>0</v>
      </c>
      <c r="E4702" s="2721">
        <v>1</v>
      </c>
      <c r="F4702" s="294"/>
      <c r="G4702" s="2448" t="s">
        <v>2792</v>
      </c>
      <c r="H4702" s="2275"/>
      <c r="I4702" s="2296"/>
      <c r="J4702" s="291"/>
      <c r="K4702" s="291"/>
      <c r="L4702" s="291"/>
      <c r="M4702" s="291"/>
      <c r="S4702" s="364"/>
      <c r="Z4702" s="609" t="s">
        <v>4260</v>
      </c>
      <c r="AA4702" s="609" t="s">
        <v>5707</v>
      </c>
    </row>
    <row r="4703" spans="1:27" ht="18">
      <c r="A4703" s="2714"/>
      <c r="B4703" s="371">
        <v>107</v>
      </c>
      <c r="C4703" s="371" t="s">
        <v>2791</v>
      </c>
      <c r="D4703" s="2716">
        <f t="shared" si="517"/>
        <v>0</v>
      </c>
      <c r="E4703" s="2721">
        <v>1</v>
      </c>
      <c r="F4703" s="294"/>
      <c r="G4703" s="2448" t="s">
        <v>2792</v>
      </c>
      <c r="H4703" s="2275"/>
      <c r="I4703" s="2296"/>
      <c r="J4703" s="291"/>
      <c r="K4703" s="291"/>
      <c r="L4703" s="291"/>
      <c r="M4703" s="291"/>
      <c r="S4703" s="364"/>
      <c r="Z4703" s="609" t="s">
        <v>4260</v>
      </c>
      <c r="AA4703" s="609" t="s">
        <v>5707</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419878.21</v>
      </c>
      <c r="I4712" s="1479">
        <f>SUMPRODUCT($E4696:$E4711,I4696:I4711)</f>
        <v>0</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6532</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121122.15</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f>IF($I4725="适用",IF(ROUND(N$4724-N4725,2)=0,"F/S",ROUND(N$4724-N4725,2)),"#N/A")</f>
        <v>121122.15</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6532</v>
      </c>
      <c r="F4736" s="293"/>
      <c r="G4736" s="372" t="str">
        <f>"("&amp;B4736&amp;")"&amp;D4736</f>
        <v>(2)研发费用补充资料</v>
      </c>
      <c r="H4736" s="1517" t="str">
        <f>$A4736</f>
        <v>6606x</v>
      </c>
      <c r="I4736" s="343" t="s">
        <v>6171</v>
      </c>
      <c r="J4736" s="301" t="s">
        <v>6172</v>
      </c>
      <c r="K4736" s="2210">
        <f>H4747</f>
        <v>0</v>
      </c>
      <c r="L4736" s="349" t="str">
        <f>IF($I4736="适用",IF(ROUND(K$4724-K4736,2)=0,"F/S",ROUND(K$4724-K4736,2)),"#N/A")</f>
        <v>F/S</v>
      </c>
      <c r="M4736" s="301" t="s">
        <v>6173</v>
      </c>
      <c r="N4736" s="2210">
        <f>I4747</f>
        <v>0</v>
      </c>
      <c r="O4736" s="349">
        <f>IF($I4736="适用",IF(ROUND(N$4724-N4736,2)=0,"F/S",ROUND(N$4724-N4736,2)),"#N/A")</f>
        <v>121122.15</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1582.34</v>
      </c>
      <c r="L4749" s="342"/>
      <c r="M4749" s="306" t="s">
        <v>4207</v>
      </c>
      <c r="N4749" s="341">
        <f>VLOOKUP($A4749,Sheet_Trialbal,10,0)</f>
        <v>236.95</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1582.34</v>
      </c>
      <c r="L4750" s="1535">
        <f>IF($I4750="适用",IF(ROUND(K4749-K4750,2)&gt;=0,IF(K4749&lt;&gt;0,K4750/K4749,""),"#Logical!"),"#N/A")</f>
        <v>1</v>
      </c>
      <c r="M4750" s="301" t="s">
        <v>4257</v>
      </c>
      <c r="N4750" s="2210">
        <f>I4763</f>
        <v>0</v>
      </c>
      <c r="O4750" s="1535">
        <f>IF($I4750="适用",IF(ROUND(N4749-N4750,2)&gt;=0,IF(N4749&lt;&gt;0,N4750/N4749,""),"#Logical!"),"#N/A")</f>
        <v>0</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519.74</v>
      </c>
      <c r="I4754" s="401"/>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-519.74</v>
      </c>
      <c r="I4755" s="401">
        <f>I4753-I4754</f>
        <v>0</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2102.08</v>
      </c>
      <c r="I4759" s="401"/>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6533</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1582.34</v>
      </c>
      <c r="I4763" s="1499">
        <f>SUMPRODUCT($E4752:$E4762,I4752:I4762)</f>
        <v>0</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6532</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41615.08</v>
      </c>
      <c r="L4775" s="342"/>
      <c r="M4775" s="306" t="s">
        <v>4207</v>
      </c>
      <c r="N4775" s="341">
        <f>VLOOKUP($A4775,Sheet_Trialbal,10,0)</f>
        <v>0</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H4790</f>
        <v>41615.08</v>
      </c>
      <c r="L4776" s="349" t="str">
        <f>IF($I4776="适用",IF(ROUND(K$4775-K4776,2)=0,"F/S",ROUND(K$4775-K4776,2)),"#N/A")</f>
        <v>F/S</v>
      </c>
      <c r="M4776" s="301" t="s">
        <v>4211</v>
      </c>
      <c r="N4776" s="2210">
        <f>I4790</f>
        <v>0</v>
      </c>
      <c r="O4776" s="349" t="str">
        <f>IF($I4776="适用",IF(ROUND(N$4775-N4776,2)=0,"F/S",ROUND(N$4775-N4776,2)),"#N/A")</f>
        <v>F/S</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90" si="523">IF(OR(G4779="*",G4779="",G4779=0),0,COUNTIF($G$4779:$G$4790,G4779))</f>
        <v>1</v>
      </c>
      <c r="E4779" s="2721">
        <v>1</v>
      </c>
      <c r="F4779" s="371"/>
      <c r="G4779" s="1474" t="s">
        <v>4281</v>
      </c>
      <c r="H4779" s="1476">
        <f>SUM(H4780:H4785)</f>
        <v>40152.730000000003</v>
      </c>
      <c r="I4779" s="1476">
        <f>SUM(I4780:I4783)</f>
        <v>0</v>
      </c>
      <c r="J4779" s="2276"/>
      <c r="L4779" s="2675"/>
      <c r="M4779" s="2672" t="s">
        <v>6362</v>
      </c>
      <c r="N4779" s="2673" t="s">
        <v>6363</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HYPERLINK("#'"&amp;$G$1&amp;"'!"&amp;ADDRESS(ROW(Notes!H4794),COLUMN(Notes!H4794),4),"* 请勿删除此行！点击往勾稽单元格，F5+Enter返回")</f>
        <v>* 请勿删除此行！点击往勾稽单元格，F5+Enter返回</v>
      </c>
      <c r="L4780" s="2675"/>
      <c r="M4780" s="1604"/>
      <c r="N4780" s="2673" t="s">
        <v>6364</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HYPERLINK("#'"&amp;$G$1&amp;"'!"&amp;ADDRESS(ROW(Notes!H4795),COLUMN(Notes!H4795),4),"*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18">
      <c r="A4783" s="2714"/>
      <c r="B4783" s="371">
        <v>105</v>
      </c>
      <c r="C4783" s="371" t="s">
        <v>2791</v>
      </c>
      <c r="D4783" s="2716">
        <f t="shared" si="523"/>
        <v>1</v>
      </c>
      <c r="E4783" s="2721">
        <v>0</v>
      </c>
      <c r="F4783" s="371"/>
      <c r="G4783" s="2448" t="s">
        <v>6830</v>
      </c>
      <c r="H4783" s="2275">
        <v>39728.21</v>
      </c>
      <c r="I4783" s="2275"/>
      <c r="J4783" s="2276" t="s">
        <v>4285</v>
      </c>
      <c r="K4783" s="391"/>
      <c r="L4783" s="349"/>
      <c r="M4783" s="301"/>
      <c r="N4783" s="391"/>
      <c r="O4783" s="349"/>
      <c r="P4783" s="301"/>
      <c r="S4783" s="364"/>
      <c r="Z4783" s="609" t="s">
        <v>4278</v>
      </c>
      <c r="AA4783" s="609" t="s">
        <v>5710</v>
      </c>
    </row>
    <row r="4784" spans="1:29" ht="18">
      <c r="A4784" s="2714"/>
      <c r="B4784" s="371"/>
      <c r="C4784" s="371" t="s">
        <v>2791</v>
      </c>
      <c r="D4784" s="2716"/>
      <c r="E4784" s="2721">
        <v>0</v>
      </c>
      <c r="F4784" s="371"/>
      <c r="G4784" s="3105" t="s">
        <v>6831</v>
      </c>
      <c r="H4784" s="2275">
        <v>424.52</v>
      </c>
      <c r="I4784" s="2275"/>
      <c r="J4784" s="2276" t="s">
        <v>4285</v>
      </c>
      <c r="K4784" s="391"/>
      <c r="L4784" s="349"/>
      <c r="M4784" s="301"/>
      <c r="N4784" s="391"/>
      <c r="O4784" s="349"/>
      <c r="P4784" s="301"/>
      <c r="S4784" s="364"/>
      <c r="Z4784" s="609"/>
      <c r="AA4784" s="609"/>
    </row>
    <row r="4785" spans="1:27" ht="18">
      <c r="A4785" s="2714"/>
      <c r="B4785" s="371"/>
      <c r="C4785" s="371" t="s">
        <v>6829</v>
      </c>
      <c r="D4785" s="2716">
        <f t="shared" si="523"/>
        <v>0</v>
      </c>
      <c r="E4785" s="2721">
        <v>0</v>
      </c>
      <c r="F4785" s="371"/>
      <c r="G4785" s="3105" t="s">
        <v>2792</v>
      </c>
      <c r="H4785" s="2275"/>
      <c r="I4785" s="2275"/>
      <c r="J4785" s="2276"/>
      <c r="K4785" s="391"/>
      <c r="L4785" s="349"/>
      <c r="M4785" s="301"/>
      <c r="N4785" s="391"/>
      <c r="O4785" s="349"/>
      <c r="P4785" s="301"/>
      <c r="S4785" s="364"/>
      <c r="Z4785" s="609" t="s">
        <v>4278</v>
      </c>
      <c r="AA4785" s="609" t="s">
        <v>5710</v>
      </c>
    </row>
    <row r="4786" spans="1:27" ht="24">
      <c r="A4786" s="2714"/>
      <c r="B4786" s="371">
        <v>106</v>
      </c>
      <c r="C4786" s="371"/>
      <c r="D4786" s="2716">
        <f t="shared" si="523"/>
        <v>1</v>
      </c>
      <c r="E4786" s="2721">
        <v>1</v>
      </c>
      <c r="F4786" s="371"/>
      <c r="G4786" s="1474" t="s">
        <v>6146</v>
      </c>
      <c r="H4786" s="1476">
        <f>SUM(H4787:H4789)</f>
        <v>1462.35</v>
      </c>
      <c r="I4786" s="1476">
        <f>SUM(I4787:I4789)</f>
        <v>0</v>
      </c>
      <c r="J4786" s="2276"/>
      <c r="K4786" s="391"/>
      <c r="L4786" s="349"/>
      <c r="M4786" s="301"/>
      <c r="N4786" s="391"/>
      <c r="O4786" s="349"/>
      <c r="P4786" s="301"/>
      <c r="S4786" s="364"/>
      <c r="Z4786" s="609" t="s">
        <v>4278</v>
      </c>
      <c r="AA4786" s="609" t="s">
        <v>5710</v>
      </c>
    </row>
    <row r="4787" spans="1:27" ht="18">
      <c r="A4787" s="2714"/>
      <c r="B4787" s="371">
        <v>107</v>
      </c>
      <c r="C4787" s="371"/>
      <c r="D4787" s="2716">
        <f t="shared" si="523"/>
        <v>1</v>
      </c>
      <c r="E4787" s="2721">
        <v>0</v>
      </c>
      <c r="F4787" s="371"/>
      <c r="G4787" s="1474" t="s">
        <v>4287</v>
      </c>
      <c r="H4787" s="2275"/>
      <c r="I4787" s="2275"/>
      <c r="J4787" s="2276"/>
      <c r="K4787" s="391"/>
      <c r="L4787" s="349"/>
      <c r="M4787" s="301"/>
      <c r="N4787" s="391"/>
      <c r="O4787" s="349"/>
      <c r="P4787" s="301"/>
      <c r="S4787" s="364"/>
      <c r="Z4787" s="609" t="s">
        <v>4278</v>
      </c>
      <c r="AA4787" s="609" t="s">
        <v>5710</v>
      </c>
    </row>
    <row r="4788" spans="1:27" ht="18">
      <c r="A4788" s="2714"/>
      <c r="B4788" s="371">
        <v>108</v>
      </c>
      <c r="C4788" s="371" t="s">
        <v>2791</v>
      </c>
      <c r="D4788" s="2716">
        <f t="shared" si="523"/>
        <v>1</v>
      </c>
      <c r="E4788" s="2721">
        <v>0</v>
      </c>
      <c r="F4788" s="371"/>
      <c r="G4788" s="2448" t="s">
        <v>6832</v>
      </c>
      <c r="H4788" s="2275">
        <v>1462.35</v>
      </c>
      <c r="I4788" s="2275"/>
      <c r="J4788" s="2276" t="s">
        <v>4285</v>
      </c>
      <c r="K4788" s="391"/>
      <c r="L4788" s="349"/>
      <c r="M4788" s="301"/>
      <c r="N4788" s="391"/>
      <c r="O4788" s="349"/>
      <c r="P4788" s="301"/>
      <c r="S4788" s="364"/>
      <c r="Z4788" s="609" t="s">
        <v>4278</v>
      </c>
      <c r="AA4788" s="609" t="s">
        <v>5710</v>
      </c>
    </row>
    <row r="4789" spans="1:27" ht="18">
      <c r="A4789" s="2714"/>
      <c r="B4789" s="371">
        <v>109</v>
      </c>
      <c r="C4789" s="371" t="s">
        <v>2791</v>
      </c>
      <c r="D4789" s="2716">
        <f t="shared" si="523"/>
        <v>0</v>
      </c>
      <c r="E4789" s="2721">
        <v>0</v>
      </c>
      <c r="F4789" s="371"/>
      <c r="G4789" s="2448"/>
      <c r="H4789" s="2275"/>
      <c r="I4789" s="2275"/>
      <c r="J4789" s="2276"/>
      <c r="K4789" s="391"/>
      <c r="L4789" s="349"/>
      <c r="M4789" s="301"/>
      <c r="N4789" s="391"/>
      <c r="O4789" s="349"/>
      <c r="P4789" s="301"/>
      <c r="S4789" s="364"/>
      <c r="Z4789" s="609" t="s">
        <v>4278</v>
      </c>
      <c r="AA4789" s="609" t="s">
        <v>5710</v>
      </c>
    </row>
    <row r="4790" spans="1:27" ht="18.75" thickBot="1">
      <c r="A4790" s="2714"/>
      <c r="B4790" s="371"/>
      <c r="C4790" s="371"/>
      <c r="D4790" s="2716">
        <f t="shared" si="523"/>
        <v>1</v>
      </c>
      <c r="E4790" s="2721" t="s">
        <v>2751</v>
      </c>
      <c r="F4790" s="371"/>
      <c r="G4790" s="374" t="s">
        <v>2752</v>
      </c>
      <c r="H4790" s="1478">
        <f>SUMPRODUCT($E4778:$E4789,H4778:H4789)</f>
        <v>41615.08</v>
      </c>
      <c r="I4790" s="1478">
        <f>SUMPRODUCT($E4778:$E4789,I4778:I4789)</f>
        <v>0</v>
      </c>
      <c r="J4790" s="2260"/>
      <c r="K4790" s="391"/>
      <c r="L4790" s="349"/>
      <c r="M4790" s="301"/>
      <c r="N4790" s="391"/>
      <c r="O4790" s="349"/>
      <c r="P4790" s="301"/>
      <c r="S4790" s="364"/>
      <c r="Z4790" s="609" t="s">
        <v>4278</v>
      </c>
      <c r="AA4790" s="609" t="s">
        <v>5710</v>
      </c>
    </row>
    <row r="4791" spans="1:27" ht="18.75" thickBot="1">
      <c r="A4791" s="2714"/>
      <c r="B4791" s="371"/>
      <c r="C4791" s="371" t="s">
        <v>2755</v>
      </c>
      <c r="D4791" s="2716"/>
      <c r="F4791" s="371"/>
      <c r="G4791" s="376"/>
      <c r="H4791" s="527" t="s">
        <v>3002</v>
      </c>
      <c r="I4791" s="2253"/>
      <c r="J4791" s="393"/>
      <c r="K4791" s="391"/>
      <c r="L4791" s="349"/>
      <c r="M4791" s="301"/>
      <c r="N4791" s="391"/>
      <c r="O4791" s="349"/>
      <c r="P4791" s="301"/>
      <c r="S4791" s="364"/>
      <c r="Z4791" s="609" t="s">
        <v>4278</v>
      </c>
      <c r="AA4791" s="609" t="s">
        <v>5710</v>
      </c>
    </row>
    <row r="4792" spans="1:27" ht="18.75" thickTop="1">
      <c r="A4792" s="2714"/>
      <c r="B4792" s="371"/>
      <c r="C4792" s="371" t="s">
        <v>2565</v>
      </c>
      <c r="D4792" s="2716"/>
      <c r="F4792" s="371"/>
      <c r="G4792" s="1549" t="s">
        <v>5367</v>
      </c>
      <c r="H4792" s="1550" t="str">
        <f>G4269</f>
        <v>(2)递延收益（涉及政府补助的项目）</v>
      </c>
      <c r="I4792" s="1552"/>
      <c r="J4792" s="1551"/>
      <c r="K4792" s="1553" t="s">
        <v>5368</v>
      </c>
      <c r="L4792" s="349"/>
      <c r="M4792" s="301"/>
      <c r="N4792" s="391"/>
      <c r="O4792" s="349"/>
      <c r="P4792" s="301"/>
      <c r="S4792" s="364"/>
      <c r="Z4792" s="609" t="s">
        <v>4278</v>
      </c>
      <c r="AA4792" s="609" t="s">
        <v>5710</v>
      </c>
    </row>
    <row r="4793" spans="1:27" ht="18">
      <c r="A4793" s="2714"/>
      <c r="B4793" s="371"/>
      <c r="C4793" s="371" t="s">
        <v>2565</v>
      </c>
      <c r="D4793" s="2716"/>
      <c r="F4793" s="371"/>
      <c r="G4793" s="604" t="str">
        <f>"注释A:"&amp; G4277</f>
        <v>注释A:合       计</v>
      </c>
      <c r="H4793" s="2252">
        <f ca="1">HYPERLINK("#'"&amp;$G$1&amp;"'!"&amp;ADDRESS(ROW(Notes!K4277),COLUMN(Notes!K4277),4),K4277)</f>
        <v>0</v>
      </c>
      <c r="I4793" s="456"/>
      <c r="J4793" s="351"/>
      <c r="K4793" s="2632" t="str">
        <f>H4269</f>
        <v>2401b</v>
      </c>
      <c r="L4793" s="349"/>
      <c r="M4793" s="301"/>
      <c r="N4793" s="391"/>
      <c r="O4793" s="349"/>
      <c r="P4793" s="301"/>
      <c r="S4793" s="364"/>
      <c r="Z4793" s="609" t="s">
        <v>4278</v>
      </c>
      <c r="AA4793" s="609" t="s">
        <v>5710</v>
      </c>
    </row>
    <row r="4794" spans="1:27" ht="36">
      <c r="A4794" s="2714"/>
      <c r="B4794" s="371"/>
      <c r="C4794" s="371" t="s">
        <v>2565</v>
      </c>
      <c r="D4794" s="2716"/>
      <c r="F4794" s="371"/>
      <c r="G4794" s="604" t="str">
        <f>"本注释B:"&amp; G4780</f>
        <v>本注释B:其中：与递延收益相关的政府补助（与资产相关）</v>
      </c>
      <c r="H4794" s="2252">
        <f ca="1">HYPERLINK("#'"&amp;$G$1&amp;"'!"&amp;ADDRESS(ROW(Notes!H4780),COLUMN(Notes!H4780),4),H4780)</f>
        <v>0</v>
      </c>
      <c r="I4794" s="456"/>
      <c r="J4794" s="351"/>
      <c r="K4794" s="2638" t="s">
        <v>1891</v>
      </c>
      <c r="L4794" s="349"/>
      <c r="M4794" s="301"/>
      <c r="N4794" s="391"/>
      <c r="O4794" s="349"/>
      <c r="P4794" s="301"/>
      <c r="S4794" s="364"/>
      <c r="Z4794" s="609" t="s">
        <v>4278</v>
      </c>
      <c r="AA4794" s="609" t="s">
        <v>5710</v>
      </c>
    </row>
    <row r="4795" spans="1:27" ht="36">
      <c r="A4795" s="2714"/>
      <c r="B4795" s="371"/>
      <c r="C4795" s="371" t="s">
        <v>2565</v>
      </c>
      <c r="D4795" s="2716"/>
      <c r="F4795" s="371"/>
      <c r="G4795" s="604" t="str">
        <f>"加：本注释B:"&amp; G4781</f>
        <v>加：本注释B:与递延收益相关的政府补助（与收益相关）</v>
      </c>
      <c r="H4795" s="2252">
        <f ca="1">HYPERLINK("#'"&amp;$G$1&amp;"'!"&amp;ADDRESS(ROW(Notes!H4781),COLUMN(Notes!H4781),4),H4781)</f>
        <v>0</v>
      </c>
      <c r="I4795" s="456"/>
      <c r="J4795" s="351"/>
      <c r="K4795" s="2638" t="s">
        <v>1891</v>
      </c>
      <c r="L4795" s="349"/>
      <c r="M4795" s="301"/>
      <c r="N4795" s="391"/>
      <c r="O4795" s="349"/>
      <c r="P4795" s="301"/>
      <c r="S4795" s="364"/>
      <c r="Z4795" s="609" t="s">
        <v>4278</v>
      </c>
      <c r="AA4795" s="609" t="s">
        <v>5710</v>
      </c>
    </row>
    <row r="4796" spans="1:27" ht="18.75" thickBot="1">
      <c r="A4796" s="2714"/>
      <c r="B4796" s="371"/>
      <c r="C4796" s="371" t="s">
        <v>2565</v>
      </c>
      <c r="D4796" s="2716"/>
      <c r="F4796" s="371"/>
      <c r="G4796" s="1554" t="s">
        <v>2757</v>
      </c>
      <c r="H4796" s="1531">
        <f ca="1">IF(AND(H4793="",H4795=""),"",ROUND(H4793-H4795-H4794,2))</f>
        <v>0</v>
      </c>
      <c r="I4796" s="1531"/>
      <c r="J4796" s="1555"/>
      <c r="K4796" s="1555"/>
      <c r="L4796" s="349"/>
      <c r="M4796" s="301"/>
      <c r="N4796" s="391"/>
      <c r="O4796" s="349"/>
      <c r="P4796" s="301"/>
      <c r="S4796" s="364"/>
      <c r="Z4796" s="609" t="s">
        <v>4278</v>
      </c>
      <c r="AA4796" s="609" t="s">
        <v>5710</v>
      </c>
    </row>
    <row r="4797" spans="1:27" ht="18.75" thickTop="1">
      <c r="A4797" s="2714"/>
      <c r="B4797" s="371"/>
      <c r="C4797" s="371" t="s">
        <v>2565</v>
      </c>
      <c r="D4797" s="2716"/>
      <c r="F4797" s="371"/>
      <c r="G4797" s="1545"/>
      <c r="H4797" s="459" t="str">
        <f ca="1">IF(OR(H4796=0,H4796=""),"√","？")</f>
        <v>√</v>
      </c>
      <c r="I4797" s="461"/>
      <c r="J4797" s="317"/>
      <c r="K4797" s="317"/>
      <c r="L4797" s="349"/>
      <c r="M4797" s="301"/>
      <c r="N4797" s="391"/>
      <c r="O4797" s="349"/>
      <c r="P4797" s="301"/>
      <c r="S4797" s="364"/>
      <c r="Z4797" s="609" t="s">
        <v>4278</v>
      </c>
      <c r="AA4797" s="609" t="s">
        <v>5710</v>
      </c>
    </row>
    <row r="4798" spans="1:27" ht="18">
      <c r="A4798" s="2714"/>
      <c r="B4798" s="371"/>
      <c r="C4798" s="371" t="s">
        <v>2565</v>
      </c>
      <c r="D4798" s="2716"/>
      <c r="F4798" s="371"/>
      <c r="G4798" s="1559" t="s">
        <v>2759</v>
      </c>
      <c r="H4798" s="461"/>
      <c r="I4798" s="461"/>
      <c r="J4798" s="317"/>
      <c r="K4798" s="352">
        <f ca="1">SUMIF($H$4797:$K$4797,"&lt;&gt;√",$H$4796:$K$4796)</f>
        <v>0</v>
      </c>
      <c r="L4798" s="475" t="str">
        <f ca="1">IF(OR(K4798=0,K4798=""),"√","？")</f>
        <v>√</v>
      </c>
      <c r="M4798" s="301"/>
      <c r="N4798" s="391"/>
      <c r="O4798" s="349"/>
      <c r="P4798" s="301"/>
      <c r="S4798" s="364"/>
      <c r="Z4798" s="609" t="s">
        <v>4278</v>
      </c>
      <c r="AA4798" s="609" t="s">
        <v>5710</v>
      </c>
    </row>
    <row r="4799" spans="1:27" ht="18">
      <c r="A4799" s="2714"/>
      <c r="B4799" s="371"/>
      <c r="C4799" s="371" t="s">
        <v>2565</v>
      </c>
      <c r="D4799" s="2716"/>
      <c r="F4799" s="371"/>
      <c r="G4799" s="1545"/>
      <c r="H4799" s="461"/>
      <c r="I4799" s="461"/>
      <c r="J4799" s="317"/>
      <c r="K4799" s="317"/>
      <c r="L4799" s="349"/>
      <c r="M4799" s="301"/>
      <c r="N4799" s="391"/>
      <c r="O4799" s="349"/>
      <c r="P4799" s="301"/>
      <c r="S4799" s="364"/>
      <c r="Z4799" s="609" t="s">
        <v>4278</v>
      </c>
      <c r="AA4799" s="609" t="s">
        <v>5710</v>
      </c>
    </row>
    <row r="4800" spans="1:27" ht="18">
      <c r="A4800" s="2714">
        <v>6111</v>
      </c>
      <c r="B4800" s="371">
        <v>68</v>
      </c>
      <c r="C4800" s="2716" t="str">
        <f>VLOOKUP($A4800,Sheet_Items,2,0)</f>
        <v>投资收益</v>
      </c>
      <c r="D4800" s="371"/>
      <c r="E4800" s="2716" t="s">
        <v>2739</v>
      </c>
      <c r="F4800" s="294"/>
      <c r="G4800" s="305" t="str">
        <f>B4800&amp;" "&amp;C4800</f>
        <v>68 投资收益</v>
      </c>
      <c r="H4800" s="306"/>
      <c r="I4800" s="306"/>
      <c r="J4800" s="306" t="s">
        <v>4206</v>
      </c>
      <c r="K4800" s="341">
        <f>VLOOKUP($A4800,Sheet_Trialbal,6,0)</f>
        <v>0</v>
      </c>
      <c r="L4800" s="342"/>
      <c r="M4800" s="306" t="s">
        <v>4207</v>
      </c>
      <c r="N4800" s="341">
        <f>VLOOKUP($A4800,Sheet_Trialbal,10,0)</f>
        <v>0</v>
      </c>
      <c r="O4800" s="306"/>
      <c r="P4800" s="301"/>
      <c r="S4800" s="364"/>
      <c r="Z4800" s="609" t="s">
        <v>4288</v>
      </c>
      <c r="AA4800" s="609" t="s">
        <v>5711</v>
      </c>
    </row>
    <row r="4801" spans="1:27" ht="18">
      <c r="A4801" s="2714" t="s">
        <v>1885</v>
      </c>
      <c r="B4801" s="371">
        <v>1</v>
      </c>
      <c r="C4801" s="371"/>
      <c r="D4801" s="2716" t="str">
        <f>VLOOKUP($A4801,Sheet_NoteList,2,0)</f>
        <v>投资收益明细项目</v>
      </c>
      <c r="E4801" s="2716" t="s">
        <v>2742</v>
      </c>
      <c r="F4801" s="294"/>
      <c r="G4801" s="307" t="str">
        <f>"("&amp;B4801&amp;")"&amp;D4801</f>
        <v>(1)投资收益明细项目</v>
      </c>
      <c r="H4801" s="1517" t="str">
        <f>$A4801</f>
        <v>6111a</v>
      </c>
      <c r="I4801" s="343" t="s">
        <v>2743</v>
      </c>
      <c r="J4801" s="301" t="s">
        <v>4210</v>
      </c>
      <c r="K4801" s="2210">
        <f>H4820</f>
        <v>0</v>
      </c>
      <c r="L4801" s="345" t="str">
        <f>IF($I4801="适用",IF(ROUND(K4800-K4801,2)=0,"F/S",ROUND(K4800-K4801,2)),"#N/A")</f>
        <v>F/S</v>
      </c>
      <c r="M4801" s="301" t="s">
        <v>4211</v>
      </c>
      <c r="N4801" s="2210">
        <f>I4820</f>
        <v>0</v>
      </c>
      <c r="O4801" s="345" t="str">
        <f>IF($I4801="适用",IF(ROUND(N4800-N4801,2)=0,"F/S",ROUND(N4800-N4801,2)),"#N/A")</f>
        <v>F/S</v>
      </c>
      <c r="P4801" s="301"/>
      <c r="Q4801" s="290" t="str">
        <f>IF($I4801="不适用","",IF(ROUND(SUM($H$4804:$I$4820),2)=0,"请输入",""))</f>
        <v>请输入</v>
      </c>
      <c r="S4801" s="364"/>
      <c r="Z4801" s="609" t="s">
        <v>4288</v>
      </c>
      <c r="AA4801" s="609" t="s">
        <v>5711</v>
      </c>
    </row>
    <row r="4802" spans="1:27" ht="0.75" customHeight="1" thickBot="1">
      <c r="A4802" s="2714"/>
      <c r="B4802" s="371"/>
      <c r="C4802" s="371"/>
      <c r="D4802" s="371"/>
      <c r="F4802" s="294"/>
      <c r="G4802" s="294" t="s">
        <v>4289</v>
      </c>
      <c r="H4802" s="294" t="s">
        <v>4223</v>
      </c>
      <c r="I4802" s="294" t="s">
        <v>4224</v>
      </c>
      <c r="J4802" s="291"/>
      <c r="K4802" s="291"/>
      <c r="L4802" s="291"/>
      <c r="M4802" s="291"/>
      <c r="S4802" s="364"/>
      <c r="Z4802" s="609" t="s">
        <v>4288</v>
      </c>
      <c r="AA4802" s="609" t="s">
        <v>5711</v>
      </c>
    </row>
    <row r="4803" spans="1:27" ht="18">
      <c r="A4803" s="2714"/>
      <c r="B4803" s="371"/>
      <c r="C4803" s="371"/>
      <c r="D4803" s="371"/>
      <c r="E4803" s="2716" t="s">
        <v>2749</v>
      </c>
      <c r="F4803" s="294"/>
      <c r="G4803" s="378" t="s">
        <v>47</v>
      </c>
      <c r="H4803" s="398" t="str">
        <f>$V$4</f>
        <v>2019年度</v>
      </c>
      <c r="I4803" s="511" t="str">
        <f>$V$5</f>
        <v>2018年度</v>
      </c>
      <c r="J4803" s="355" t="s">
        <v>5333</v>
      </c>
      <c r="K4803" s="291"/>
      <c r="L4803" s="291"/>
      <c r="M4803" s="291"/>
      <c r="S4803" s="364"/>
      <c r="Z4803" s="609" t="s">
        <v>4288</v>
      </c>
      <c r="AA4803" s="609" t="s">
        <v>5711</v>
      </c>
    </row>
    <row r="4804" spans="1:27" ht="24">
      <c r="A4804" s="2714"/>
      <c r="B4804" s="371">
        <v>101</v>
      </c>
      <c r="C4804" s="371"/>
      <c r="D4804" s="2716">
        <f t="shared" ref="D4804:D4820" si="524">IF(OR(G4804="*",G4804="",G4804=0),0,COUNTIF($G$4804:$G$4820,G4804))</f>
        <v>1</v>
      </c>
      <c r="E4804" s="2721">
        <v>1</v>
      </c>
      <c r="F4804" s="294"/>
      <c r="G4804" s="380" t="s">
        <v>4290</v>
      </c>
      <c r="H4804" s="383"/>
      <c r="I4804" s="401"/>
      <c r="J4804" s="291"/>
      <c r="K4804" s="355" t="s">
        <v>6361</v>
      </c>
      <c r="L4804" s="2677" t="s">
        <v>6368</v>
      </c>
      <c r="M4804" s="291"/>
      <c r="S4804" s="364"/>
      <c r="Z4804" s="609" t="s">
        <v>4288</v>
      </c>
      <c r="AA4804" s="609" t="s">
        <v>5711</v>
      </c>
    </row>
    <row r="4805" spans="1:27" ht="24">
      <c r="A4805" s="2714"/>
      <c r="B4805" s="371">
        <v>102</v>
      </c>
      <c r="C4805" s="371"/>
      <c r="D4805" s="2716">
        <f t="shared" si="524"/>
        <v>1</v>
      </c>
      <c r="E4805" s="2721">
        <v>1</v>
      </c>
      <c r="F4805" s="294"/>
      <c r="G4805" s="380" t="s">
        <v>4291</v>
      </c>
      <c r="H4805" s="383"/>
      <c r="I4805" s="401"/>
      <c r="J4805" s="291"/>
      <c r="K4805" s="291"/>
      <c r="L4805" s="291"/>
      <c r="M4805" s="291"/>
      <c r="S4805" s="364"/>
      <c r="Z4805" s="609" t="s">
        <v>4288</v>
      </c>
      <c r="AA4805" s="609" t="s">
        <v>5711</v>
      </c>
    </row>
    <row r="4806" spans="1:27" ht="36">
      <c r="A4806" s="2714"/>
      <c r="B4806" s="371">
        <v>103</v>
      </c>
      <c r="C4806" s="371"/>
      <c r="D4806" s="2716">
        <f t="shared" si="524"/>
        <v>1</v>
      </c>
      <c r="E4806" s="2721">
        <v>1</v>
      </c>
      <c r="F4806" s="294"/>
      <c r="G4806" s="380" t="s">
        <v>4292</v>
      </c>
      <c r="H4806" s="2329">
        <v>0</v>
      </c>
      <c r="I4806" s="401"/>
      <c r="J4806" s="291"/>
      <c r="K4806" s="291"/>
      <c r="L4806" s="291"/>
      <c r="M4806" s="291"/>
      <c r="S4806" s="364"/>
      <c r="Z4806" s="609" t="s">
        <v>4288</v>
      </c>
      <c r="AA4806" s="609" t="s">
        <v>5711</v>
      </c>
    </row>
    <row r="4807" spans="1:27" ht="36">
      <c r="A4807" s="2714"/>
      <c r="B4807" s="371">
        <v>104</v>
      </c>
      <c r="C4807" s="371"/>
      <c r="D4807" s="2716">
        <f t="shared" si="524"/>
        <v>1</v>
      </c>
      <c r="E4807" s="2721">
        <v>1</v>
      </c>
      <c r="F4807" s="294"/>
      <c r="G4807" s="380" t="s">
        <v>4293</v>
      </c>
      <c r="H4807" s="2329">
        <v>0</v>
      </c>
      <c r="I4807" s="401"/>
      <c r="J4807" s="291"/>
      <c r="K4807" s="291"/>
      <c r="L4807" s="291"/>
      <c r="M4807" s="291"/>
      <c r="S4807" s="364"/>
      <c r="Z4807" s="609" t="s">
        <v>4288</v>
      </c>
      <c r="AA4807" s="609" t="s">
        <v>5711</v>
      </c>
    </row>
    <row r="4808" spans="1:27" ht="24">
      <c r="A4808" s="2714"/>
      <c r="B4808" s="371">
        <v>105</v>
      </c>
      <c r="C4808" s="371"/>
      <c r="D4808" s="2716">
        <f t="shared" si="524"/>
        <v>1</v>
      </c>
      <c r="E4808" s="2721">
        <v>1</v>
      </c>
      <c r="F4808" s="294"/>
      <c r="G4808" s="380" t="s">
        <v>4294</v>
      </c>
      <c r="H4808" s="2329">
        <v>0</v>
      </c>
      <c r="I4808" s="401"/>
      <c r="J4808" s="291"/>
      <c r="K4808" s="291"/>
      <c r="L4808" s="291"/>
      <c r="M4808" s="291"/>
      <c r="S4808" s="364"/>
      <c r="Z4808" s="609" t="s">
        <v>4288</v>
      </c>
      <c r="AA4808" s="609" t="s">
        <v>5711</v>
      </c>
    </row>
    <row r="4809" spans="1:27" ht="24">
      <c r="A4809" s="2714"/>
      <c r="B4809" s="371">
        <v>106</v>
      </c>
      <c r="C4809" s="371"/>
      <c r="D4809" s="2716">
        <f t="shared" si="524"/>
        <v>1</v>
      </c>
      <c r="E4809" s="2721">
        <v>1</v>
      </c>
      <c r="F4809" s="294"/>
      <c r="G4809" s="380" t="s">
        <v>4295</v>
      </c>
      <c r="H4809" s="2329">
        <v>0</v>
      </c>
      <c r="I4809" s="401"/>
      <c r="J4809" s="291"/>
      <c r="K4809" s="291"/>
      <c r="L4809" s="291"/>
      <c r="M4809" s="291"/>
      <c r="S4809" s="364"/>
      <c r="Z4809" s="609" t="s">
        <v>4288</v>
      </c>
      <c r="AA4809" s="609" t="s">
        <v>5711</v>
      </c>
    </row>
    <row r="4810" spans="1:27" ht="24">
      <c r="A4810" s="2714"/>
      <c r="B4810" s="371">
        <v>107</v>
      </c>
      <c r="C4810" s="371"/>
      <c r="D4810" s="2716">
        <f t="shared" si="524"/>
        <v>1</v>
      </c>
      <c r="E4810" s="2721">
        <v>1</v>
      </c>
      <c r="F4810" s="294"/>
      <c r="G4810" s="380" t="s">
        <v>4296</v>
      </c>
      <c r="H4810" s="2329">
        <v>0</v>
      </c>
      <c r="I4810" s="401"/>
      <c r="J4810" s="291"/>
      <c r="K4810" s="291"/>
      <c r="L4810" s="291"/>
      <c r="M4810" s="291"/>
      <c r="S4810" s="364"/>
      <c r="Z4810" s="609" t="s">
        <v>4288</v>
      </c>
      <c r="AA4810" s="609" t="s">
        <v>5711</v>
      </c>
    </row>
    <row r="4811" spans="1:27" ht="24">
      <c r="A4811" s="2714"/>
      <c r="B4811" s="371">
        <v>108</v>
      </c>
      <c r="C4811" s="371"/>
      <c r="D4811" s="2716">
        <f t="shared" si="524"/>
        <v>1</v>
      </c>
      <c r="E4811" s="2721">
        <v>1</v>
      </c>
      <c r="F4811" s="294"/>
      <c r="G4811" s="380" t="s">
        <v>4297</v>
      </c>
      <c r="H4811" s="383"/>
      <c r="I4811" s="401"/>
      <c r="J4811" s="291"/>
      <c r="K4811" s="291"/>
      <c r="L4811" s="291"/>
      <c r="M4811" s="291"/>
      <c r="S4811" s="364"/>
      <c r="Z4811" s="609" t="s">
        <v>4288</v>
      </c>
      <c r="AA4811" s="609" t="s">
        <v>5711</v>
      </c>
    </row>
    <row r="4812" spans="1:27" ht="24">
      <c r="A4812" s="2714"/>
      <c r="B4812" s="371">
        <v>109</v>
      </c>
      <c r="C4812" s="371"/>
      <c r="D4812" s="2716">
        <f t="shared" si="524"/>
        <v>1</v>
      </c>
      <c r="E4812" s="2721">
        <v>1</v>
      </c>
      <c r="F4812" s="294"/>
      <c r="G4812" s="380" t="s">
        <v>4298</v>
      </c>
      <c r="H4812" s="383"/>
      <c r="I4812" s="1500">
        <v>0</v>
      </c>
      <c r="J4812" s="291"/>
      <c r="K4812" s="291"/>
      <c r="L4812" s="291"/>
      <c r="M4812" s="291"/>
      <c r="S4812" s="364"/>
      <c r="Z4812" s="609" t="s">
        <v>4288</v>
      </c>
      <c r="AA4812" s="609" t="s">
        <v>5711</v>
      </c>
    </row>
    <row r="4813" spans="1:27" ht="24">
      <c r="A4813" s="2714"/>
      <c r="B4813" s="371">
        <v>110</v>
      </c>
      <c r="C4813" s="371"/>
      <c r="D4813" s="2716">
        <f t="shared" si="524"/>
        <v>1</v>
      </c>
      <c r="E4813" s="2721">
        <v>1</v>
      </c>
      <c r="F4813" s="294"/>
      <c r="G4813" s="409" t="s">
        <v>4299</v>
      </c>
      <c r="H4813" s="383"/>
      <c r="I4813" s="1500">
        <v>0</v>
      </c>
      <c r="J4813" s="291"/>
      <c r="K4813" s="291"/>
      <c r="L4813" s="291"/>
      <c r="M4813" s="291"/>
      <c r="S4813" s="364"/>
      <c r="Z4813" s="609" t="s">
        <v>4288</v>
      </c>
      <c r="AA4813" s="609" t="s">
        <v>5711</v>
      </c>
    </row>
    <row r="4814" spans="1:27" ht="24">
      <c r="A4814" s="2714"/>
      <c r="B4814" s="371">
        <v>111</v>
      </c>
      <c r="C4814" s="371"/>
      <c r="D4814" s="2716">
        <f t="shared" si="524"/>
        <v>1</v>
      </c>
      <c r="E4814" s="2721">
        <v>1</v>
      </c>
      <c r="F4814" s="294"/>
      <c r="G4814" s="409" t="s">
        <v>4300</v>
      </c>
      <c r="H4814" s="383"/>
      <c r="I4814" s="1500">
        <v>0</v>
      </c>
      <c r="J4814" s="291"/>
      <c r="K4814" s="291"/>
      <c r="L4814" s="291"/>
      <c r="M4814" s="291"/>
      <c r="S4814" s="364"/>
      <c r="Z4814" s="609" t="s">
        <v>4288</v>
      </c>
      <c r="AA4814" s="609" t="s">
        <v>5711</v>
      </c>
    </row>
    <row r="4815" spans="1:27" ht="24">
      <c r="A4815" s="2714"/>
      <c r="B4815" s="371">
        <v>112</v>
      </c>
      <c r="C4815" s="371"/>
      <c r="D4815" s="2716">
        <f t="shared" si="524"/>
        <v>1</v>
      </c>
      <c r="E4815" s="2721">
        <v>1</v>
      </c>
      <c r="F4815" s="294"/>
      <c r="G4815" s="409" t="s">
        <v>4301</v>
      </c>
      <c r="H4815" s="383"/>
      <c r="I4815" s="1500">
        <v>0</v>
      </c>
      <c r="J4815" s="291"/>
      <c r="K4815" s="291"/>
      <c r="L4815" s="291"/>
      <c r="M4815" s="291"/>
      <c r="S4815" s="364"/>
      <c r="Z4815" s="609" t="s">
        <v>4288</v>
      </c>
      <c r="AA4815" s="609" t="s">
        <v>5711</v>
      </c>
    </row>
    <row r="4816" spans="1:27" ht="24">
      <c r="A4816" s="2714"/>
      <c r="B4816" s="371">
        <v>113</v>
      </c>
      <c r="C4816" s="371"/>
      <c r="D4816" s="2716">
        <f t="shared" si="524"/>
        <v>1</v>
      </c>
      <c r="E4816" s="2721">
        <v>1</v>
      </c>
      <c r="F4816" s="294"/>
      <c r="G4816" s="409" t="s">
        <v>4302</v>
      </c>
      <c r="H4816" s="383"/>
      <c r="I4816" s="1500">
        <v>0</v>
      </c>
      <c r="J4816" s="291"/>
      <c r="K4816" s="291"/>
      <c r="L4816" s="291"/>
      <c r="M4816" s="291"/>
      <c r="S4816" s="364"/>
      <c r="Z4816" s="609" t="s">
        <v>4288</v>
      </c>
      <c r="AA4816" s="609" t="s">
        <v>5711</v>
      </c>
    </row>
    <row r="4817" spans="1:27" ht="24">
      <c r="A4817" s="2714"/>
      <c r="B4817" s="371">
        <v>114</v>
      </c>
      <c r="C4817" s="371"/>
      <c r="D4817" s="2716">
        <f t="shared" si="524"/>
        <v>1</v>
      </c>
      <c r="E4817" s="2721">
        <v>1</v>
      </c>
      <c r="F4817" s="294"/>
      <c r="G4817" s="380" t="s">
        <v>4303</v>
      </c>
      <c r="H4817" s="383"/>
      <c r="I4817" s="1500">
        <v>0</v>
      </c>
      <c r="J4817" s="291"/>
      <c r="K4817" s="291"/>
      <c r="L4817" s="291"/>
      <c r="M4817" s="291"/>
      <c r="S4817" s="364"/>
      <c r="Z4817" s="609" t="s">
        <v>4288</v>
      </c>
      <c r="AA4817" s="609" t="s">
        <v>5711</v>
      </c>
    </row>
    <row r="4818" spans="1:27" ht="24">
      <c r="A4818" s="2714"/>
      <c r="B4818" s="371">
        <v>115</v>
      </c>
      <c r="C4818" s="371"/>
      <c r="D4818" s="2716">
        <f t="shared" si="524"/>
        <v>1</v>
      </c>
      <c r="E4818" s="2721">
        <v>1</v>
      </c>
      <c r="F4818" s="294"/>
      <c r="G4818" s="380" t="s">
        <v>4304</v>
      </c>
      <c r="H4818" s="383"/>
      <c r="I4818" s="1500">
        <v>0</v>
      </c>
      <c r="J4818" s="291"/>
      <c r="K4818" s="291"/>
      <c r="L4818" s="291"/>
      <c r="M4818" s="291"/>
      <c r="S4818" s="364"/>
      <c r="Z4818" s="609" t="s">
        <v>4288</v>
      </c>
      <c r="AA4818" s="609" t="s">
        <v>5711</v>
      </c>
    </row>
    <row r="4819" spans="1:27" ht="18">
      <c r="A4819" s="2714"/>
      <c r="B4819" s="371">
        <v>116</v>
      </c>
      <c r="C4819" s="371" t="s">
        <v>2791</v>
      </c>
      <c r="D4819" s="2716">
        <f t="shared" si="524"/>
        <v>0</v>
      </c>
      <c r="E4819" s="2721">
        <v>1</v>
      </c>
      <c r="F4819" s="294"/>
      <c r="G4819" s="409" t="s">
        <v>2792</v>
      </c>
      <c r="H4819" s="383"/>
      <c r="I4819" s="401"/>
      <c r="J4819" s="291"/>
      <c r="K4819" s="291"/>
      <c r="L4819" s="291"/>
      <c r="M4819" s="291"/>
      <c r="S4819" s="364"/>
      <c r="Z4819" s="609" t="s">
        <v>4288</v>
      </c>
      <c r="AA4819" s="609" t="s">
        <v>5711</v>
      </c>
    </row>
    <row r="4820" spans="1:27" ht="18.75" thickBot="1">
      <c r="A4820" s="2714"/>
      <c r="B4820" s="371"/>
      <c r="C4820" s="371"/>
      <c r="D4820" s="2716">
        <f t="shared" si="524"/>
        <v>1</v>
      </c>
      <c r="E4820" s="2721" t="s">
        <v>2751</v>
      </c>
      <c r="F4820" s="294"/>
      <c r="G4820" s="403" t="s">
        <v>2752</v>
      </c>
      <c r="H4820" s="404">
        <f>SUMPRODUCT($E4803:$E4819,H4803:H4819)</f>
        <v>0</v>
      </c>
      <c r="I4820" s="413">
        <f>SUMPRODUCT($E4803:$E4819,I4803:I4819)</f>
        <v>0</v>
      </c>
      <c r="J4820" s="291"/>
      <c r="K4820" s="291"/>
      <c r="L4820" s="291"/>
      <c r="M4820" s="291"/>
      <c r="S4820" s="364"/>
      <c r="Z4820" s="609" t="s">
        <v>4288</v>
      </c>
      <c r="AA4820" s="609" t="s">
        <v>5711</v>
      </c>
    </row>
    <row r="4821" spans="1:27" ht="18">
      <c r="A4821" s="2714"/>
      <c r="B4821" s="371"/>
      <c r="C4821" s="371" t="s">
        <v>2755</v>
      </c>
      <c r="D4821" s="2716"/>
      <c r="F4821" s="293"/>
      <c r="G4821" s="376"/>
      <c r="H4821" s="315"/>
      <c r="I4821" s="396"/>
      <c r="J4821" s="425"/>
      <c r="K4821" s="426"/>
      <c r="L4821" s="427"/>
      <c r="M4821" s="425"/>
      <c r="N4821" s="426"/>
      <c r="O4821" s="427"/>
      <c r="P4821" s="425"/>
      <c r="Q4821" s="442"/>
      <c r="R4821" s="443"/>
      <c r="S4821" s="364"/>
      <c r="Z4821" s="609" t="s">
        <v>4288</v>
      </c>
      <c r="AA4821" s="609" t="s">
        <v>5711</v>
      </c>
    </row>
    <row r="4822" spans="1:27" ht="17.25">
      <c r="A4822" s="2715">
        <v>6102</v>
      </c>
      <c r="B4822" s="371">
        <v>69</v>
      </c>
      <c r="C4822" s="2716" t="str">
        <f>VLOOKUP($A4822,Sheet_Items,2,0)</f>
        <v>净敞口套期收益</v>
      </c>
      <c r="D4822" s="371"/>
      <c r="E4822" s="2716" t="s">
        <v>2739</v>
      </c>
      <c r="F4822" s="293"/>
      <c r="G4822" s="305" t="str">
        <f>B4822&amp;" "&amp;C4822</f>
        <v>69 净敞口套期收益</v>
      </c>
      <c r="H4822" s="306"/>
      <c r="I4822" s="306"/>
      <c r="J4822" s="306" t="s">
        <v>4206</v>
      </c>
      <c r="K4822" s="341">
        <f>VLOOKUP($A4822,Sheet_Trialbal,6,0)</f>
        <v>0</v>
      </c>
      <c r="L4822" s="342"/>
      <c r="M4822" s="306" t="s">
        <v>4207</v>
      </c>
      <c r="N4822" s="341">
        <f>VLOOKUP($A4822,Sheet_Trialbal,10,0)</f>
        <v>0</v>
      </c>
      <c r="O4822" s="342"/>
      <c r="P4822" s="301"/>
      <c r="S4822" s="364"/>
      <c r="Z4822" s="609" t="s">
        <v>4305</v>
      </c>
      <c r="AA4822" s="609" t="s">
        <v>4306</v>
      </c>
    </row>
    <row r="4823" spans="1:27" ht="24">
      <c r="A4823" s="2714" t="s">
        <v>1882</v>
      </c>
      <c r="B4823" s="371">
        <v>1</v>
      </c>
      <c r="C4823" s="371"/>
      <c r="D4823" s="2716" t="str">
        <f>VLOOKUP($A4823,Sheet_NoteList,2,0)</f>
        <v>净敞口套期收益明细项目</v>
      </c>
      <c r="E4823" s="2716" t="s">
        <v>2742</v>
      </c>
      <c r="F4823" s="293"/>
      <c r="G4823" s="372" t="str">
        <f>"("&amp;B4823&amp;")"&amp;D4823</f>
        <v>(1)净敞口套期收益明细项目</v>
      </c>
      <c r="H4823" s="1517" t="str">
        <f>$A4823</f>
        <v>6102a</v>
      </c>
      <c r="I4823" s="343" t="s">
        <v>2743</v>
      </c>
      <c r="J4823" s="301" t="s">
        <v>4210</v>
      </c>
      <c r="K4823" s="2210">
        <f>H4834</f>
        <v>0</v>
      </c>
      <c r="L4823" s="349" t="str">
        <f>IF($I4823="适用",IF(ROUND(K$4822-K4823,2)=0,"F/S",ROUND(K$4822-K4823,2)),"#N/A")</f>
        <v>F/S</v>
      </c>
      <c r="M4823" s="301" t="s">
        <v>4211</v>
      </c>
      <c r="N4823" s="2210">
        <f>I4834</f>
        <v>0</v>
      </c>
      <c r="O4823" s="349" t="str">
        <f>IF($I4823="适用",IF(ROUND(N$4822-N4823,2)=0,"F/S",ROUND(N$4822-N4823,2)),"#N/A")</f>
        <v>F/S</v>
      </c>
      <c r="P4823" s="301"/>
      <c r="S4823" s="364"/>
      <c r="Z4823" s="609" t="s">
        <v>4305</v>
      </c>
      <c r="AA4823" s="609" t="s">
        <v>4306</v>
      </c>
    </row>
    <row r="4824" spans="1:27" ht="0.75" customHeight="1" thickBot="1">
      <c r="A4824" s="2714"/>
      <c r="B4824" s="371"/>
      <c r="C4824" s="371"/>
      <c r="D4824" s="2716"/>
      <c r="F4824" s="371"/>
      <c r="G4824" s="405" t="s">
        <v>4307</v>
      </c>
      <c r="H4824" s="371" t="s">
        <v>2747</v>
      </c>
      <c r="I4824" s="371" t="s">
        <v>2748</v>
      </c>
      <c r="J4824" s="433"/>
      <c r="K4824" s="428"/>
      <c r="L4824" s="428"/>
      <c r="M4824" s="433"/>
      <c r="N4824" s="428"/>
      <c r="O4824" s="428"/>
      <c r="P4824" s="433"/>
      <c r="Q4824" s="442"/>
      <c r="R4824" s="443"/>
      <c r="S4824" s="364"/>
      <c r="Z4824" s="609" t="s">
        <v>4305</v>
      </c>
      <c r="AA4824" s="609" t="s">
        <v>4306</v>
      </c>
    </row>
    <row r="4825" spans="1:27" ht="18">
      <c r="A4825" s="2714"/>
      <c r="B4825" s="371"/>
      <c r="C4825" s="371"/>
      <c r="D4825" s="2716"/>
      <c r="E4825" s="2716" t="s">
        <v>2749</v>
      </c>
      <c r="F4825" s="293"/>
      <c r="G4825" s="2305" t="s">
        <v>47</v>
      </c>
      <c r="H4825" s="2291" t="str">
        <f>$V$4</f>
        <v>2019年度</v>
      </c>
      <c r="I4825" s="2293" t="str">
        <f>$V$5</f>
        <v>2018年度</v>
      </c>
      <c r="J4825" s="355" t="s">
        <v>5334</v>
      </c>
      <c r="K4825" s="434"/>
      <c r="L4825" s="434"/>
      <c r="M4825" s="435"/>
      <c r="N4825" s="434"/>
      <c r="O4825" s="434"/>
      <c r="P4825" s="435"/>
      <c r="Q4825" s="442"/>
      <c r="R4825" s="443"/>
      <c r="S4825" s="364"/>
      <c r="Z4825" s="609" t="s">
        <v>4305</v>
      </c>
      <c r="AA4825" s="609" t="s">
        <v>4306</v>
      </c>
    </row>
    <row r="4826" spans="1:27" ht="18">
      <c r="A4826" s="2714"/>
      <c r="B4826" s="371">
        <v>101</v>
      </c>
      <c r="C4826" s="371" t="s">
        <v>2791</v>
      </c>
      <c r="D4826" s="2716">
        <f t="shared" ref="D4826:D4834" si="525">IF(OR(G4826="*",G4826="",G4826=0),0,COUNTIF($G$4826:$G$4834,G4826))</f>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102</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103</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104</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105</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106</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
      <c r="A4832" s="2714"/>
      <c r="B4832" s="371">
        <v>107</v>
      </c>
      <c r="C4832" s="371" t="s">
        <v>2791</v>
      </c>
      <c r="D4832" s="2716">
        <f t="shared" si="525"/>
        <v>0</v>
      </c>
      <c r="E4832" s="2721">
        <v>1</v>
      </c>
      <c r="F4832" s="293"/>
      <c r="G4832" s="319" t="s">
        <v>2792</v>
      </c>
      <c r="H4832" s="309"/>
      <c r="I4832" s="1475">
        <v>0</v>
      </c>
      <c r="J4832" s="438"/>
      <c r="K4832" s="439"/>
      <c r="L4832" s="437"/>
      <c r="M4832" s="438"/>
      <c r="N4832" s="439"/>
      <c r="O4832" s="437"/>
      <c r="P4832" s="438"/>
      <c r="Q4832" s="442"/>
      <c r="R4832" s="443"/>
      <c r="S4832" s="364"/>
      <c r="Z4832" s="609" t="s">
        <v>4305</v>
      </c>
      <c r="AA4832" s="609" t="s">
        <v>4306</v>
      </c>
    </row>
    <row r="4833" spans="1:27" ht="18">
      <c r="A4833" s="2714"/>
      <c r="B4833" s="371">
        <v>108</v>
      </c>
      <c r="C4833" s="371" t="s">
        <v>2791</v>
      </c>
      <c r="D4833" s="2716">
        <f t="shared" si="525"/>
        <v>0</v>
      </c>
      <c r="E4833" s="2721">
        <v>1</v>
      </c>
      <c r="F4833" s="293"/>
      <c r="G4833" s="319" t="s">
        <v>2792</v>
      </c>
      <c r="H4833" s="309"/>
      <c r="I4833" s="1475">
        <v>0</v>
      </c>
      <c r="J4833" s="438"/>
      <c r="K4833" s="439"/>
      <c r="L4833" s="437"/>
      <c r="M4833" s="438"/>
      <c r="N4833" s="439"/>
      <c r="O4833" s="437"/>
      <c r="P4833" s="438"/>
      <c r="Q4833" s="442"/>
      <c r="R4833" s="443"/>
      <c r="S4833" s="364"/>
      <c r="Z4833" s="609" t="s">
        <v>4305</v>
      </c>
      <c r="AA4833" s="609" t="s">
        <v>4306</v>
      </c>
    </row>
    <row r="4834" spans="1:27" ht="18.75" thickBot="1">
      <c r="A4834" s="2714"/>
      <c r="B4834" s="371"/>
      <c r="C4834" s="371"/>
      <c r="D4834" s="2716">
        <f t="shared" si="525"/>
        <v>1</v>
      </c>
      <c r="E4834" s="2721" t="s">
        <v>2751</v>
      </c>
      <c r="F4834" s="293"/>
      <c r="G4834" s="2234" t="s">
        <v>2752</v>
      </c>
      <c r="H4834" s="2325">
        <f>SUMPRODUCT($E4825:$E4833,H4825:H4833)</f>
        <v>0</v>
      </c>
      <c r="I4834" s="2342">
        <f>SUMPRODUCT($E4825:$E4833,I4825:I4833)</f>
        <v>0</v>
      </c>
      <c r="J4834" s="440"/>
      <c r="K4834" s="439"/>
      <c r="L4834" s="437"/>
      <c r="M4834" s="440"/>
      <c r="N4834" s="439"/>
      <c r="O4834" s="437"/>
      <c r="P4834" s="440"/>
      <c r="Q4834" s="442"/>
      <c r="R4834" s="443"/>
      <c r="S4834" s="364"/>
      <c r="Z4834" s="609" t="s">
        <v>4305</v>
      </c>
      <c r="AA4834" s="609" t="s">
        <v>4306</v>
      </c>
    </row>
    <row r="4835" spans="1:27" ht="18">
      <c r="A4835" s="2714"/>
      <c r="B4835" s="371"/>
      <c r="C4835" s="371" t="s">
        <v>2755</v>
      </c>
      <c r="D4835" s="2716"/>
      <c r="F4835" s="293"/>
      <c r="G4835" s="376"/>
      <c r="H4835" s="315"/>
      <c r="I4835" s="396"/>
      <c r="J4835" s="425"/>
      <c r="K4835" s="426"/>
      <c r="L4835" s="427"/>
      <c r="M4835" s="425"/>
      <c r="N4835" s="426"/>
      <c r="O4835" s="427"/>
      <c r="P4835" s="425"/>
      <c r="Q4835" s="442"/>
      <c r="R4835" s="443"/>
      <c r="S4835" s="364"/>
      <c r="Z4835" s="609" t="s">
        <v>4305</v>
      </c>
      <c r="AA4835" s="609" t="s">
        <v>4306</v>
      </c>
    </row>
    <row r="4836" spans="1:27" ht="18">
      <c r="A4836" s="2714">
        <v>6101</v>
      </c>
      <c r="B4836" s="371">
        <v>70</v>
      </c>
      <c r="C4836" s="2716" t="str">
        <f>VLOOKUP($A4836,Sheet_Items,2,0)</f>
        <v>公允价值变动收益</v>
      </c>
      <c r="D4836" s="371"/>
      <c r="E4836" s="2716" t="s">
        <v>2739</v>
      </c>
      <c r="F4836" s="294"/>
      <c r="G4836" s="305" t="str">
        <f>B4836&amp;" "&amp;C4836</f>
        <v>70 公允价值变动收益</v>
      </c>
      <c r="H4836" s="306"/>
      <c r="I4836" s="306"/>
      <c r="J4836" s="306" t="s">
        <v>4206</v>
      </c>
      <c r="K4836" s="341">
        <f>VLOOKUP($A4836,Sheet_Trialbal,6,0)</f>
        <v>0</v>
      </c>
      <c r="L4836" s="342"/>
      <c r="M4836" s="306" t="s">
        <v>4207</v>
      </c>
      <c r="N4836" s="341">
        <f>VLOOKUP($A4836,Sheet_Trialbal,10,0)</f>
        <v>0</v>
      </c>
      <c r="O4836" s="306"/>
      <c r="P4836" s="301"/>
      <c r="S4836" s="364"/>
      <c r="Z4836" s="609" t="s">
        <v>4308</v>
      </c>
      <c r="AA4836" s="609" t="s">
        <v>5713</v>
      </c>
    </row>
    <row r="4837" spans="1:27" ht="24">
      <c r="A4837" s="2714" t="s">
        <v>6091</v>
      </c>
      <c r="B4837" s="371">
        <v>1</v>
      </c>
      <c r="C4837" s="371"/>
      <c r="D4837" s="2716" t="str">
        <f>VLOOKUP($A4837,Sheet_NoteList,2,0)</f>
        <v>公允价值变动收益明细项目列示</v>
      </c>
      <c r="E4837" s="2716" t="s">
        <v>6531</v>
      </c>
      <c r="F4837" s="293"/>
      <c r="G4837" s="372" t="str">
        <f>"("&amp;B4837&amp;")"&amp;D4837</f>
        <v>(1)公允价值变动收益明细项目列示</v>
      </c>
      <c r="H4837" s="1517" t="str">
        <f>$A4837</f>
        <v>6101b</v>
      </c>
      <c r="I4837" s="343" t="s">
        <v>6093</v>
      </c>
      <c r="J4837" s="301" t="s">
        <v>6094</v>
      </c>
      <c r="K4837" s="2210">
        <f>H4848</f>
        <v>0</v>
      </c>
      <c r="L4837" s="349" t="str">
        <f>IF($I4837="适用",IF(ROUND(K$4836-K4837,2)=0,"F/S",ROUND(K$4836-K4837,2)),"#N/A")</f>
        <v>F/S</v>
      </c>
      <c r="M4837" s="301" t="s">
        <v>6095</v>
      </c>
      <c r="N4837" s="2210">
        <f>I4848</f>
        <v>0</v>
      </c>
      <c r="O4837" s="349" t="str">
        <f>IF($I4837="适用",IF(ROUND(N$4836-N4837,2)=0,"F/S",ROUND(N$4836-N4837,2)),"#N/A")</f>
        <v>F/S</v>
      </c>
      <c r="P4837" s="301"/>
      <c r="S4837" s="364"/>
      <c r="Z4837" s="609" t="s">
        <v>4308</v>
      </c>
      <c r="AA4837" s="609" t="s">
        <v>5713</v>
      </c>
    </row>
    <row r="4838" spans="1:27" ht="0.75" customHeight="1" thickBot="1">
      <c r="A4838" s="2714"/>
      <c r="B4838" s="371"/>
      <c r="C4838" s="371"/>
      <c r="D4838" s="2716"/>
      <c r="E4838" s="586"/>
      <c r="F4838" s="586"/>
      <c r="G4838" s="2224" t="s">
        <v>6096</v>
      </c>
      <c r="H4838" s="1617" t="s">
        <v>4223</v>
      </c>
      <c r="I4838" s="371" t="s">
        <v>4224</v>
      </c>
      <c r="J4838" s="301"/>
      <c r="K4838" s="391"/>
      <c r="L4838" s="349"/>
      <c r="M4838" s="301"/>
      <c r="N4838" s="391"/>
      <c r="O4838" s="349"/>
      <c r="P4838" s="301"/>
      <c r="S4838" s="364"/>
      <c r="Z4838" s="609" t="s">
        <v>4308</v>
      </c>
      <c r="AA4838" s="609" t="s">
        <v>5713</v>
      </c>
    </row>
    <row r="4839" spans="1:27" ht="18">
      <c r="A4839" s="2714"/>
      <c r="B4839" s="371"/>
      <c r="C4839" s="371"/>
      <c r="D4839" s="2716"/>
      <c r="E4839" s="586" t="s">
        <v>2749</v>
      </c>
      <c r="F4839" s="414"/>
      <c r="G4839" s="2453" t="s">
        <v>1878</v>
      </c>
      <c r="H4839" s="2523" t="str">
        <f>$V$4</f>
        <v>2019年度</v>
      </c>
      <c r="I4839" s="2524" t="str">
        <f>$V$5</f>
        <v>2018年度</v>
      </c>
      <c r="J4839" s="355" t="s">
        <v>5335</v>
      </c>
      <c r="K4839" s="391"/>
      <c r="L4839" s="349"/>
      <c r="M4839" s="301"/>
      <c r="N4839" s="391"/>
      <c r="O4839" s="349"/>
      <c r="P4839" s="301"/>
      <c r="S4839" s="364"/>
      <c r="Z4839" s="609" t="s">
        <v>4308</v>
      </c>
      <c r="AA4839" s="609" t="s">
        <v>5713</v>
      </c>
    </row>
    <row r="4840" spans="1:27" ht="18">
      <c r="A4840" s="2714"/>
      <c r="B4840" s="371">
        <v>101</v>
      </c>
      <c r="C4840" s="371"/>
      <c r="D4840" s="2716">
        <f t="shared" ref="D4840:D4848" si="526">IF(OR(G4840="*",G4840="",G4840=0),0,COUNTIF($G$4840:$G$4848,G4840))</f>
        <v>1</v>
      </c>
      <c r="E4840" s="2721">
        <v>1</v>
      </c>
      <c r="F4840" s="294"/>
      <c r="G4840" s="1474" t="s">
        <v>71</v>
      </c>
      <c r="H4840" s="2275"/>
      <c r="I4840" s="2296"/>
      <c r="J4840" s="301"/>
      <c r="K4840" s="391"/>
      <c r="L4840" s="349"/>
      <c r="M4840" s="301"/>
      <c r="N4840" s="391"/>
      <c r="O4840" s="349"/>
      <c r="P4840" s="301"/>
      <c r="S4840" s="364"/>
      <c r="Z4840" s="609" t="s">
        <v>4308</v>
      </c>
      <c r="AA4840" s="609" t="s">
        <v>5713</v>
      </c>
    </row>
    <row r="4841" spans="1:27" ht="24">
      <c r="A4841" s="2714"/>
      <c r="B4841" s="371">
        <v>102</v>
      </c>
      <c r="C4841" s="371"/>
      <c r="D4841" s="2716">
        <f t="shared" si="526"/>
        <v>1</v>
      </c>
      <c r="E4841" s="2721">
        <v>0</v>
      </c>
      <c r="F4841" s="294"/>
      <c r="G4841" s="1474" t="s">
        <v>4310</v>
      </c>
      <c r="H4841" s="2275"/>
      <c r="I4841" s="2296"/>
      <c r="J4841" s="301"/>
      <c r="K4841" s="391"/>
      <c r="L4841" s="349"/>
      <c r="M4841" s="301"/>
      <c r="N4841" s="391"/>
      <c r="O4841" s="349"/>
      <c r="P4841" s="301"/>
      <c r="S4841" s="364"/>
      <c r="Z4841" s="609" t="s">
        <v>4308</v>
      </c>
      <c r="AA4841" s="609" t="s">
        <v>5713</v>
      </c>
    </row>
    <row r="4842" spans="1:27" ht="24">
      <c r="A4842" s="2714"/>
      <c r="B4842" s="371">
        <v>103</v>
      </c>
      <c r="C4842" s="371"/>
      <c r="D4842" s="2716">
        <f t="shared" si="526"/>
        <v>1</v>
      </c>
      <c r="E4842" s="2721">
        <v>1</v>
      </c>
      <c r="F4842" s="294"/>
      <c r="G4842" s="1474" t="s">
        <v>4311</v>
      </c>
      <c r="H4842" s="2275"/>
      <c r="I4842" s="2296"/>
      <c r="J4842" s="301"/>
      <c r="K4842" s="391"/>
      <c r="L4842" s="349"/>
      <c r="M4842" s="301"/>
      <c r="N4842" s="391"/>
      <c r="O4842" s="349"/>
      <c r="P4842" s="301"/>
      <c r="S4842" s="364"/>
      <c r="Z4842" s="609" t="s">
        <v>4308</v>
      </c>
      <c r="AA4842" s="609" t="s">
        <v>5713</v>
      </c>
    </row>
    <row r="4843" spans="1:27" ht="18">
      <c r="A4843" s="2714"/>
      <c r="B4843" s="371">
        <v>104</v>
      </c>
      <c r="C4843" s="371"/>
      <c r="D4843" s="2716">
        <f t="shared" si="526"/>
        <v>1</v>
      </c>
      <c r="E4843" s="2721">
        <v>1</v>
      </c>
      <c r="F4843" s="294"/>
      <c r="G4843" s="1474" t="s">
        <v>462</v>
      </c>
      <c r="H4843" s="2275"/>
      <c r="I4843" s="2296"/>
      <c r="J4843" s="301"/>
      <c r="K4843" s="391"/>
      <c r="L4843" s="349"/>
      <c r="M4843" s="301"/>
      <c r="N4843" s="391"/>
      <c r="O4843" s="349"/>
      <c r="P4843" s="301"/>
      <c r="S4843" s="364"/>
      <c r="Z4843" s="609" t="s">
        <v>4308</v>
      </c>
      <c r="AA4843" s="609" t="s">
        <v>5713</v>
      </c>
    </row>
    <row r="4844" spans="1:27" ht="24">
      <c r="A4844" s="2714"/>
      <c r="B4844" s="371">
        <v>105</v>
      </c>
      <c r="C4844" s="371"/>
      <c r="D4844" s="2716">
        <f t="shared" si="526"/>
        <v>1</v>
      </c>
      <c r="E4844" s="2721">
        <v>0</v>
      </c>
      <c r="F4844" s="294"/>
      <c r="G4844" s="1474" t="s">
        <v>4312</v>
      </c>
      <c r="H4844" s="2275"/>
      <c r="I4844" s="2296"/>
      <c r="J4844" s="301"/>
      <c r="K4844" s="391"/>
      <c r="L4844" s="349"/>
      <c r="M4844" s="301"/>
      <c r="N4844" s="391"/>
      <c r="O4844" s="349"/>
      <c r="P4844" s="301"/>
      <c r="S4844" s="364"/>
      <c r="Z4844" s="609" t="s">
        <v>4308</v>
      </c>
      <c r="AA4844" s="609" t="s">
        <v>5713</v>
      </c>
    </row>
    <row r="4845" spans="1:27" ht="24">
      <c r="A4845" s="2714"/>
      <c r="B4845" s="371">
        <v>106</v>
      </c>
      <c r="C4845" s="371"/>
      <c r="D4845" s="2716">
        <f t="shared" si="526"/>
        <v>1</v>
      </c>
      <c r="E4845" s="2721">
        <v>1</v>
      </c>
      <c r="F4845" s="294"/>
      <c r="G4845" s="1474" t="s">
        <v>4313</v>
      </c>
      <c r="H4845" s="2275"/>
      <c r="I4845" s="2296"/>
      <c r="J4845" s="301"/>
      <c r="K4845" s="391"/>
      <c r="L4845" s="349"/>
      <c r="M4845" s="301"/>
      <c r="N4845" s="391"/>
      <c r="O4845" s="349"/>
      <c r="P4845" s="301"/>
      <c r="S4845" s="364"/>
      <c r="Z4845" s="609" t="s">
        <v>4308</v>
      </c>
      <c r="AA4845" s="609" t="s">
        <v>5713</v>
      </c>
    </row>
    <row r="4846" spans="1:27" ht="18">
      <c r="A4846" s="2714"/>
      <c r="B4846" s="371">
        <v>107</v>
      </c>
      <c r="C4846" s="371"/>
      <c r="D4846" s="2716">
        <f t="shared" si="526"/>
        <v>1</v>
      </c>
      <c r="E4846" s="2721">
        <v>1</v>
      </c>
      <c r="F4846" s="294"/>
      <c r="G4846" s="1474" t="s">
        <v>329</v>
      </c>
      <c r="H4846" s="2275"/>
      <c r="I4846" s="2296"/>
      <c r="J4846" s="301"/>
      <c r="K4846" s="391"/>
      <c r="L4846" s="349"/>
      <c r="M4846" s="301"/>
      <c r="N4846" s="391"/>
      <c r="O4846" s="349"/>
      <c r="P4846" s="301"/>
      <c r="S4846" s="364"/>
      <c r="Z4846" s="609" t="s">
        <v>4308</v>
      </c>
      <c r="AA4846" s="609" t="s">
        <v>5713</v>
      </c>
    </row>
    <row r="4847" spans="1:27" ht="18">
      <c r="A4847" s="2714"/>
      <c r="B4847" s="371">
        <v>108</v>
      </c>
      <c r="C4847" s="371" t="s">
        <v>2791</v>
      </c>
      <c r="D4847" s="2716">
        <f t="shared" si="526"/>
        <v>0</v>
      </c>
      <c r="E4847" s="2721">
        <v>1</v>
      </c>
      <c r="F4847" s="294"/>
      <c r="G4847" s="2467" t="s">
        <v>2792</v>
      </c>
      <c r="H4847" s="2275"/>
      <c r="I4847" s="2296"/>
      <c r="J4847" s="301"/>
      <c r="K4847" s="391"/>
      <c r="L4847" s="349"/>
      <c r="M4847" s="301"/>
      <c r="N4847" s="391"/>
      <c r="O4847" s="349"/>
      <c r="P4847" s="301"/>
      <c r="S4847" s="364"/>
      <c r="Z4847" s="609" t="s">
        <v>4308</v>
      </c>
      <c r="AA4847" s="609" t="s">
        <v>5713</v>
      </c>
    </row>
    <row r="4848" spans="1:27" ht="18.75" thickBot="1">
      <c r="A4848" s="2714"/>
      <c r="B4848" s="371"/>
      <c r="C4848" s="371"/>
      <c r="D4848" s="2716">
        <f t="shared" si="526"/>
        <v>1</v>
      </c>
      <c r="E4848" s="2721" t="s">
        <v>2751</v>
      </c>
      <c r="F4848" s="293"/>
      <c r="G4848" s="2234" t="s">
        <v>2752</v>
      </c>
      <c r="H4848" s="2235">
        <f>SUMPRODUCT($E4839:$E4847,H4839:H4847)</f>
        <v>0</v>
      </c>
      <c r="I4848" s="2236">
        <f>SUMPRODUCT($E4839:$E4847,I4839:I4847)</f>
        <v>0</v>
      </c>
      <c r="J4848" s="301"/>
      <c r="K4848" s="391"/>
      <c r="L4848" s="349"/>
      <c r="M4848" s="301"/>
      <c r="N4848" s="391"/>
      <c r="O4848" s="349"/>
      <c r="P4848" s="301"/>
      <c r="S4848" s="364"/>
      <c r="Z4848" s="609" t="s">
        <v>4308</v>
      </c>
      <c r="AA4848" s="609" t="s">
        <v>5713</v>
      </c>
    </row>
    <row r="4849" spans="1:31" ht="18">
      <c r="A4849" s="2714"/>
      <c r="B4849" s="371"/>
      <c r="C4849" s="371" t="s">
        <v>2755</v>
      </c>
      <c r="D4849" s="2716"/>
      <c r="F4849" s="293"/>
      <c r="G4849" s="376"/>
      <c r="H4849" s="1576"/>
      <c r="I4849" s="396"/>
      <c r="J4849" s="301"/>
      <c r="K4849" s="391"/>
      <c r="L4849" s="349"/>
      <c r="M4849" s="301"/>
      <c r="N4849" s="391"/>
      <c r="O4849" s="349"/>
      <c r="P4849" s="301"/>
      <c r="S4849" s="364"/>
      <c r="Z4849" s="609" t="s">
        <v>4308</v>
      </c>
      <c r="AA4849" s="609" t="s">
        <v>5713</v>
      </c>
    </row>
    <row r="4850" spans="1:31" ht="24" hidden="1">
      <c r="A4850" s="2714" t="s">
        <v>1876</v>
      </c>
      <c r="B4850" s="371">
        <v>1</v>
      </c>
      <c r="C4850" s="371"/>
      <c r="D4850" s="2716" t="str">
        <f>VLOOKUP($A4850,Sheet_NoteList,2,0)</f>
        <v>公允价值变动收益明细项目</v>
      </c>
      <c r="E4850" s="2716" t="s">
        <v>6632</v>
      </c>
      <c r="F4850" s="294"/>
      <c r="G4850" s="372" t="str">
        <f>"("&amp;B4850&amp;")"&amp;D4850</f>
        <v>(1)公允价值变动收益明细项目</v>
      </c>
      <c r="H4850" s="1517" t="str">
        <f>$A4850</f>
        <v>6101a</v>
      </c>
      <c r="I4850" s="343" t="s">
        <v>6631</v>
      </c>
      <c r="J4850" s="301" t="s">
        <v>6633</v>
      </c>
      <c r="K4850" s="344">
        <f>H4861</f>
        <v>0</v>
      </c>
      <c r="L4850" s="345" t="str">
        <f>IF($I4850="适用",IF(ROUND(K4836-K4850,2)=0,"F/S",ROUND(K4836-K4850,2)),"#N/A")</f>
        <v>#N/A</v>
      </c>
      <c r="M4850" s="301" t="s">
        <v>6634</v>
      </c>
      <c r="N4850" s="344">
        <f>I4861</f>
        <v>0</v>
      </c>
      <c r="O4850" s="345" t="str">
        <f>IF($I4850="适用",IF(ROUND(N4836-N4850,2)=0,"F/S",ROUND(N4836-N4850,2)),"#N/A")</f>
        <v>#N/A</v>
      </c>
      <c r="P4850" s="301"/>
      <c r="Q4850" s="290" t="str">
        <f>IF($I4850="不适用","",IF(ROUND(SUM($H$4853:$I$4861),2)=0,"请输入",""))</f>
        <v/>
      </c>
      <c r="S4850" s="364"/>
      <c r="Z4850" s="609" t="s">
        <v>4308</v>
      </c>
      <c r="AA4850" s="609" t="s">
        <v>5713</v>
      </c>
      <c r="AE4850" s="369" t="s">
        <v>2761</v>
      </c>
    </row>
    <row r="4851" spans="1:31" ht="0.75" hidden="1" customHeight="1" thickBot="1">
      <c r="A4851" s="2714"/>
      <c r="B4851" s="371"/>
      <c r="C4851" s="371"/>
      <c r="D4851" s="371"/>
      <c r="E4851" s="586"/>
      <c r="F4851" s="586"/>
      <c r="G4851" s="586" t="s">
        <v>4309</v>
      </c>
      <c r="H4851" s="371" t="s">
        <v>4223</v>
      </c>
      <c r="I4851" s="371" t="s">
        <v>4224</v>
      </c>
      <c r="J4851" s="291"/>
      <c r="K4851" s="291"/>
      <c r="L4851" s="291"/>
      <c r="M4851" s="291"/>
      <c r="S4851" s="364"/>
      <c r="Z4851" s="609" t="s">
        <v>4308</v>
      </c>
      <c r="AA4851" s="609" t="s">
        <v>5713</v>
      </c>
      <c r="AE4851" s="369" t="s">
        <v>2761</v>
      </c>
    </row>
    <row r="4852" spans="1:31" ht="18" hidden="1">
      <c r="A4852" s="2714"/>
      <c r="B4852" s="371"/>
      <c r="C4852" s="371"/>
      <c r="D4852" s="371"/>
      <c r="E4852" s="586" t="s">
        <v>2749</v>
      </c>
      <c r="F4852" s="363"/>
      <c r="G4852" s="2569" t="s">
        <v>1878</v>
      </c>
      <c r="H4852" s="2557" t="s">
        <v>4242</v>
      </c>
      <c r="I4852" s="2572" t="s">
        <v>4245</v>
      </c>
      <c r="J4852" s="2452" t="s">
        <v>5990</v>
      </c>
      <c r="K4852" s="291"/>
      <c r="L4852" s="291"/>
      <c r="M4852" s="291"/>
      <c r="S4852" s="364"/>
      <c r="Z4852" s="609" t="s">
        <v>4308</v>
      </c>
      <c r="AA4852" s="609" t="s">
        <v>5713</v>
      </c>
      <c r="AE4852" s="369" t="s">
        <v>2761</v>
      </c>
    </row>
    <row r="4853" spans="1:31" ht="24" hidden="1">
      <c r="A4853" s="2714"/>
      <c r="B4853" s="371">
        <v>101</v>
      </c>
      <c r="C4853" s="371"/>
      <c r="D4853" s="2716">
        <f t="shared" ref="D4853:D4861" si="527">IF(OR(G4853="*",G4853="",G4853=0),0,COUNTIF($G$4853:$G$4861,G4853))</f>
        <v>1</v>
      </c>
      <c r="E4853" s="2721">
        <v>1</v>
      </c>
      <c r="F4853" s="294"/>
      <c r="G4853" s="1474" t="s">
        <v>6098</v>
      </c>
      <c r="H4853" s="2275"/>
      <c r="I4853" s="2296"/>
      <c r="J4853" s="291"/>
      <c r="K4853" s="291"/>
      <c r="L4853" s="291"/>
      <c r="M4853" s="291"/>
      <c r="S4853" s="364"/>
      <c r="Z4853" s="609" t="s">
        <v>4308</v>
      </c>
      <c r="AA4853" s="609" t="s">
        <v>5713</v>
      </c>
      <c r="AE4853" s="369" t="s">
        <v>2761</v>
      </c>
    </row>
    <row r="4854" spans="1:31" ht="24" hidden="1">
      <c r="A4854" s="2714"/>
      <c r="B4854" s="371">
        <v>102</v>
      </c>
      <c r="C4854" s="371"/>
      <c r="D4854" s="2716">
        <f t="shared" si="527"/>
        <v>1</v>
      </c>
      <c r="E4854" s="2721">
        <v>0</v>
      </c>
      <c r="F4854" s="294"/>
      <c r="G4854" s="1474" t="s">
        <v>6099</v>
      </c>
      <c r="H4854" s="2275"/>
      <c r="I4854" s="2296"/>
      <c r="J4854" s="291"/>
      <c r="K4854" s="291"/>
      <c r="L4854" s="291"/>
      <c r="M4854" s="291"/>
      <c r="S4854" s="364"/>
      <c r="Z4854" s="609" t="s">
        <v>4308</v>
      </c>
      <c r="AA4854" s="609" t="s">
        <v>5713</v>
      </c>
      <c r="AE4854" s="369" t="s">
        <v>2761</v>
      </c>
    </row>
    <row r="4855" spans="1:31" ht="24" hidden="1">
      <c r="A4855" s="2714"/>
      <c r="B4855" s="371">
        <v>103</v>
      </c>
      <c r="C4855" s="371"/>
      <c r="D4855" s="2716">
        <f t="shared" si="527"/>
        <v>1</v>
      </c>
      <c r="E4855" s="2721">
        <v>1</v>
      </c>
      <c r="F4855" s="294"/>
      <c r="G4855" s="1474" t="s">
        <v>6100</v>
      </c>
      <c r="H4855" s="2275"/>
      <c r="I4855" s="2296"/>
      <c r="J4855" s="291"/>
      <c r="K4855" s="291"/>
      <c r="L4855" s="291"/>
      <c r="M4855" s="291"/>
      <c r="S4855" s="364"/>
      <c r="Z4855" s="609" t="s">
        <v>4308</v>
      </c>
      <c r="AA4855" s="609" t="s">
        <v>5713</v>
      </c>
      <c r="AE4855" s="369" t="s">
        <v>2761</v>
      </c>
    </row>
    <row r="4856" spans="1:31" ht="24" hidden="1">
      <c r="A4856" s="2714"/>
      <c r="B4856" s="371">
        <v>104</v>
      </c>
      <c r="C4856" s="371"/>
      <c r="D4856" s="2716">
        <f t="shared" si="527"/>
        <v>1</v>
      </c>
      <c r="E4856" s="2721">
        <v>1</v>
      </c>
      <c r="F4856" s="294"/>
      <c r="G4856" s="1474" t="s">
        <v>4313</v>
      </c>
      <c r="H4856" s="2275"/>
      <c r="I4856" s="2296"/>
      <c r="J4856" s="291"/>
      <c r="K4856" s="291"/>
      <c r="L4856" s="291"/>
      <c r="M4856" s="291"/>
      <c r="S4856" s="364"/>
      <c r="Z4856" s="609" t="s">
        <v>4308</v>
      </c>
      <c r="AA4856" s="609" t="s">
        <v>5713</v>
      </c>
      <c r="AE4856" s="369" t="s">
        <v>2761</v>
      </c>
    </row>
    <row r="4857" spans="1:31" ht="18" hidden="1">
      <c r="A4857" s="2714"/>
      <c r="B4857" s="371">
        <v>105</v>
      </c>
      <c r="C4857" s="371"/>
      <c r="D4857" s="2716">
        <f t="shared" si="527"/>
        <v>1</v>
      </c>
      <c r="E4857" s="2721">
        <v>1</v>
      </c>
      <c r="F4857" s="294"/>
      <c r="G4857" s="1474" t="s">
        <v>6097</v>
      </c>
      <c r="H4857" s="2275"/>
      <c r="I4857" s="2296"/>
      <c r="J4857" s="291"/>
      <c r="K4857" s="291"/>
      <c r="L4857" s="291"/>
      <c r="M4857" s="291"/>
      <c r="S4857" s="364"/>
      <c r="Z4857" s="609" t="s">
        <v>4308</v>
      </c>
      <c r="AA4857" s="609" t="s">
        <v>5713</v>
      </c>
      <c r="AE4857" s="369" t="s">
        <v>2761</v>
      </c>
    </row>
    <row r="4858" spans="1:31" ht="18" hidden="1">
      <c r="A4858" s="2714"/>
      <c r="B4858" s="371">
        <v>106</v>
      </c>
      <c r="C4858" s="371"/>
      <c r="D4858" s="2716">
        <f t="shared" si="527"/>
        <v>1</v>
      </c>
      <c r="E4858" s="2721">
        <v>1</v>
      </c>
      <c r="F4858" s="294"/>
      <c r="G4858" s="1474" t="s">
        <v>932</v>
      </c>
      <c r="H4858" s="2275"/>
      <c r="I4858" s="2296"/>
      <c r="J4858" s="291"/>
      <c r="K4858" s="291"/>
      <c r="L4858" s="291"/>
      <c r="M4858" s="291"/>
      <c r="S4858" s="364"/>
      <c r="Z4858" s="609" t="s">
        <v>4308</v>
      </c>
      <c r="AA4858" s="609" t="s">
        <v>5713</v>
      </c>
      <c r="AE4858" s="369" t="s">
        <v>2761</v>
      </c>
    </row>
    <row r="4859" spans="1:31" ht="18" hidden="1">
      <c r="A4859" s="2714"/>
      <c r="B4859" s="371">
        <v>107</v>
      </c>
      <c r="C4859" s="371" t="s">
        <v>2791</v>
      </c>
      <c r="D4859" s="2716">
        <f t="shared" si="527"/>
        <v>0</v>
      </c>
      <c r="E4859" s="2721">
        <v>1</v>
      </c>
      <c r="F4859" s="294"/>
      <c r="G4859" s="2467" t="s">
        <v>5146</v>
      </c>
      <c r="H4859" s="2275"/>
      <c r="I4859" s="2296"/>
      <c r="J4859" s="291"/>
      <c r="K4859" s="291"/>
      <c r="L4859" s="291"/>
      <c r="M4859" s="291"/>
      <c r="S4859" s="364"/>
      <c r="Z4859" s="609" t="s">
        <v>4308</v>
      </c>
      <c r="AA4859" s="609" t="s">
        <v>5713</v>
      </c>
      <c r="AE4859" s="369" t="s">
        <v>2761</v>
      </c>
    </row>
    <row r="4860" spans="1:31" ht="18" hidden="1">
      <c r="A4860" s="2714"/>
      <c r="B4860" s="371">
        <v>108</v>
      </c>
      <c r="C4860" s="371" t="s">
        <v>2791</v>
      </c>
      <c r="D4860" s="2716">
        <f t="shared" si="527"/>
        <v>0</v>
      </c>
      <c r="E4860" s="2721">
        <v>1</v>
      </c>
      <c r="F4860" s="294"/>
      <c r="G4860" s="2467" t="s">
        <v>2792</v>
      </c>
      <c r="H4860" s="2275"/>
      <c r="I4860" s="2296"/>
      <c r="J4860" s="291"/>
      <c r="K4860" s="291"/>
      <c r="L4860" s="291"/>
      <c r="M4860" s="291"/>
      <c r="S4860" s="364"/>
      <c r="Z4860" s="609" t="s">
        <v>4308</v>
      </c>
      <c r="AA4860" s="609" t="s">
        <v>5713</v>
      </c>
      <c r="AE4860" s="369" t="s">
        <v>2761</v>
      </c>
    </row>
    <row r="4861" spans="1:31" ht="18.75" hidden="1" thickBot="1">
      <c r="A4861" s="2714"/>
      <c r="B4861" s="371"/>
      <c r="C4861" s="371"/>
      <c r="D4861" s="2716">
        <f t="shared" si="527"/>
        <v>1</v>
      </c>
      <c r="E4861" s="2721" t="s">
        <v>2751</v>
      </c>
      <c r="F4861" s="294"/>
      <c r="G4861" s="310" t="s">
        <v>2752</v>
      </c>
      <c r="H4861" s="1481">
        <f>SUMPRODUCT($E4852:$E4860,H4852:H4860)</f>
        <v>0</v>
      </c>
      <c r="I4861" s="1482">
        <f>SUMPRODUCT($E4852:$E4860,I4852:I4860)</f>
        <v>0</v>
      </c>
      <c r="J4861" s="291"/>
      <c r="K4861" s="291"/>
      <c r="L4861" s="291"/>
      <c r="M4861" s="291"/>
      <c r="S4861" s="364"/>
      <c r="Z4861" s="609" t="s">
        <v>4308</v>
      </c>
      <c r="AA4861" s="609" t="s">
        <v>5713</v>
      </c>
      <c r="AE4861" s="369" t="s">
        <v>2761</v>
      </c>
    </row>
    <row r="4862" spans="1:31" ht="18" hidden="1">
      <c r="A4862" s="2714"/>
      <c r="B4862" s="371"/>
      <c r="C4862" s="371" t="s">
        <v>2755</v>
      </c>
      <c r="D4862" s="2716"/>
      <c r="F4862" s="293"/>
      <c r="G4862" s="376"/>
      <c r="H4862" s="315"/>
      <c r="I4862" s="396"/>
      <c r="J4862" s="425"/>
      <c r="K4862" s="426"/>
      <c r="L4862" s="427"/>
      <c r="M4862" s="425"/>
      <c r="N4862" s="426"/>
      <c r="O4862" s="427"/>
      <c r="P4862" s="425"/>
      <c r="Q4862" s="442"/>
      <c r="R4862" s="443"/>
      <c r="S4862" s="364"/>
      <c r="Z4862" s="609" t="s">
        <v>4308</v>
      </c>
      <c r="AA4862" s="609" t="s">
        <v>5713</v>
      </c>
      <c r="AE4862" s="369" t="s">
        <v>2761</v>
      </c>
    </row>
    <row r="4863" spans="1:31" ht="17.25">
      <c r="A4863" s="2715">
        <v>6672</v>
      </c>
      <c r="B4863" s="371">
        <v>71</v>
      </c>
      <c r="C4863" s="2716" t="str">
        <f>VLOOKUP($A4863,Sheet_Items,2,0)</f>
        <v>信用减值损失</v>
      </c>
      <c r="D4863" s="371"/>
      <c r="E4863" s="2716" t="s">
        <v>2739</v>
      </c>
      <c r="F4863" s="293"/>
      <c r="G4863" s="305" t="str">
        <f>B4863&amp;" "&amp;C4863</f>
        <v>71 信用减值损失</v>
      </c>
      <c r="H4863" s="306"/>
      <c r="I4863" s="306"/>
      <c r="J4863" s="306" t="s">
        <v>4206</v>
      </c>
      <c r="K4863" s="341">
        <f>VLOOKUP($A4863,Sheet_Trialbal,6,0)</f>
        <v>4831.16</v>
      </c>
      <c r="L4863" s="342"/>
      <c r="M4863" s="306" t="s">
        <v>4207</v>
      </c>
      <c r="N4863" s="341">
        <f>VLOOKUP($A4863,Sheet_Trialbal,10,0)</f>
        <v>0</v>
      </c>
      <c r="O4863" s="342"/>
      <c r="P4863" s="301"/>
      <c r="S4863" s="364"/>
      <c r="Z4863" s="609" t="s">
        <v>4314</v>
      </c>
      <c r="AA4863" s="609" t="s">
        <v>4315</v>
      </c>
    </row>
    <row r="4864" spans="1:31" ht="18">
      <c r="A4864" s="2714" t="s">
        <v>1930</v>
      </c>
      <c r="B4864" s="371">
        <v>1</v>
      </c>
      <c r="C4864" s="371"/>
      <c r="D4864" s="2716" t="str">
        <f>VLOOKUP($A4864,Sheet_NoteList,2,0)</f>
        <v>信用减值损失明细项目</v>
      </c>
      <c r="E4864" s="2716" t="s">
        <v>2742</v>
      </c>
      <c r="F4864" s="293"/>
      <c r="G4864" s="372" t="str">
        <f>"("&amp;B4864&amp;")"&amp;D4864</f>
        <v>(1)信用减值损失明细项目</v>
      </c>
      <c r="H4864" s="1517" t="str">
        <f>$A4864</f>
        <v>6672a</v>
      </c>
      <c r="I4864" s="343" t="s">
        <v>2743</v>
      </c>
      <c r="J4864" s="301" t="s">
        <v>4210</v>
      </c>
      <c r="K4864" s="2210">
        <f>H4875</f>
        <v>4831.16</v>
      </c>
      <c r="L4864" s="349" t="str">
        <f>IF($I4864="适用",IF(ROUND(K$4863-K4864,2)=0,"F/S",ROUND(K$4863-K4864,2)),"#N/A")</f>
        <v>F/S</v>
      </c>
      <c r="M4864" s="301" t="s">
        <v>4211</v>
      </c>
      <c r="N4864" s="2210">
        <f>I4875</f>
        <v>0</v>
      </c>
      <c r="O4864" s="349" t="str">
        <f>IF($I4864="适用",IF(ROUND(N$4863-N4864,2)=0,"F/S",ROUND(N$4863-N4864,2)),"#N/A")</f>
        <v>F/S</v>
      </c>
      <c r="P4864" s="301"/>
      <c r="S4864" s="364"/>
      <c r="Z4864" s="609" t="s">
        <v>4314</v>
      </c>
      <c r="AA4864" s="609" t="s">
        <v>4315</v>
      </c>
    </row>
    <row r="4865" spans="1:27" ht="0.75" customHeight="1" thickBot="1">
      <c r="A4865" s="2714"/>
      <c r="B4865" s="371"/>
      <c r="C4865" s="371"/>
      <c r="D4865" s="2716"/>
      <c r="F4865" s="371"/>
      <c r="G4865" s="405" t="s">
        <v>4316</v>
      </c>
      <c r="H4865" s="371" t="s">
        <v>2747</v>
      </c>
      <c r="I4865" s="371" t="s">
        <v>2748</v>
      </c>
      <c r="J4865" s="433"/>
      <c r="K4865" s="428"/>
      <c r="L4865" s="428"/>
      <c r="M4865" s="433"/>
      <c r="N4865" s="428"/>
      <c r="O4865" s="428"/>
      <c r="P4865" s="433"/>
      <c r="Q4865" s="442"/>
      <c r="R4865" s="443"/>
      <c r="S4865" s="364"/>
      <c r="Z4865" s="609" t="s">
        <v>4314</v>
      </c>
      <c r="AA4865" s="609" t="s">
        <v>4315</v>
      </c>
    </row>
    <row r="4866" spans="1:27" ht="18.75" thickTop="1">
      <c r="A4866" s="2714"/>
      <c r="B4866" s="371"/>
      <c r="C4866" s="371"/>
      <c r="D4866" s="2716"/>
      <c r="E4866" s="2716" t="s">
        <v>2749</v>
      </c>
      <c r="F4866" s="293"/>
      <c r="G4866" s="2305" t="s">
        <v>47</v>
      </c>
      <c r="H4866" s="2291" t="str">
        <f>$V$4</f>
        <v>2019年度</v>
      </c>
      <c r="I4866" s="2293" t="str">
        <f>$V$5</f>
        <v>2018年度</v>
      </c>
      <c r="J4866" s="355" t="s">
        <v>5336</v>
      </c>
      <c r="K4866" s="1584" t="s">
        <v>5496</v>
      </c>
      <c r="L4866" s="1584" t="s">
        <v>5497</v>
      </c>
      <c r="M4866" s="1584" t="s">
        <v>5498</v>
      </c>
      <c r="N4866" s="434"/>
      <c r="O4866" s="434"/>
      <c r="P4866" s="435"/>
      <c r="Q4866" s="442"/>
      <c r="R4866" s="443"/>
      <c r="S4866" s="364"/>
      <c r="Z4866" s="609" t="s">
        <v>4314</v>
      </c>
      <c r="AA4866" s="609" t="s">
        <v>4315</v>
      </c>
    </row>
    <row r="4867" spans="1:27" ht="18">
      <c r="A4867" s="2714"/>
      <c r="B4867" s="371">
        <v>101</v>
      </c>
      <c r="C4867" s="371"/>
      <c r="D4867" s="2716">
        <f t="shared" ref="D4867:D4875" si="528">IF(OR(G4867="*",G4867="",G4867=0),0,COUNTIF($G$4867:$G$4875,G4867))</f>
        <v>1</v>
      </c>
      <c r="E4867" s="2721">
        <v>1</v>
      </c>
      <c r="F4867" s="293"/>
      <c r="G4867" s="308" t="s">
        <v>4317</v>
      </c>
      <c r="H4867" s="309"/>
      <c r="I4867" s="1475">
        <v>0</v>
      </c>
      <c r="J4867" s="438"/>
      <c r="K4867" s="1587" t="s">
        <v>5499</v>
      </c>
      <c r="L4867" s="1588">
        <f ca="1">HYPERLINK("#'"&amp;$G$1&amp;"'!"&amp;ADDRESS(ROW(Notes!K264),COLUMN(Notes!K264),4),K264)</f>
        <v>0</v>
      </c>
      <c r="M4867" s="1544">
        <f ca="1">L4867-H4867</f>
        <v>0</v>
      </c>
      <c r="N4867" s="437"/>
      <c r="O4867" s="437"/>
      <c r="P4867" s="438"/>
      <c r="Q4867" s="442"/>
      <c r="R4867" s="443"/>
      <c r="S4867" s="364"/>
      <c r="Z4867" s="609" t="s">
        <v>4314</v>
      </c>
      <c r="AA4867" s="609" t="s">
        <v>4315</v>
      </c>
    </row>
    <row r="4868" spans="1:27" ht="18">
      <c r="A4868" s="2714"/>
      <c r="B4868" s="371">
        <v>102</v>
      </c>
      <c r="C4868" s="371"/>
      <c r="D4868" s="2716">
        <f t="shared" si="528"/>
        <v>1</v>
      </c>
      <c r="E4868" s="2721">
        <v>1</v>
      </c>
      <c r="F4868" s="293"/>
      <c r="G4868" s="308" t="s">
        <v>4318</v>
      </c>
      <c r="H4868" s="309">
        <v>4542.8599999999997</v>
      </c>
      <c r="I4868" s="1475">
        <v>0</v>
      </c>
      <c r="J4868" s="438"/>
      <c r="K4868" s="1587" t="s">
        <v>5500</v>
      </c>
      <c r="L4868" s="1588">
        <f ca="1">HYPERLINK("#'"&amp;$G$1&amp;"'!"&amp;ADDRESS(ROW(Notes!K592),COLUMN(Notes!K592),4),K592)</f>
        <v>0</v>
      </c>
      <c r="M4868" s="1544">
        <f t="shared" ref="M4868:M4873" ca="1" si="529">L4868-H4868</f>
        <v>-4542.8599999999997</v>
      </c>
      <c r="N4868" s="437"/>
      <c r="O4868" s="437"/>
      <c r="P4868" s="438"/>
      <c r="Q4868" s="442"/>
      <c r="R4868" s="443"/>
      <c r="S4868" s="364"/>
      <c r="Z4868" s="609" t="s">
        <v>4314</v>
      </c>
      <c r="AA4868" s="609" t="s">
        <v>4315</v>
      </c>
    </row>
    <row r="4869" spans="1:27" ht="18">
      <c r="A4869" s="2714"/>
      <c r="B4869" s="371">
        <v>103</v>
      </c>
      <c r="C4869" s="371"/>
      <c r="D4869" s="2716">
        <f t="shared" si="528"/>
        <v>1</v>
      </c>
      <c r="E4869" s="2721">
        <v>1</v>
      </c>
      <c r="F4869" s="293"/>
      <c r="G4869" s="1474" t="s">
        <v>4319</v>
      </c>
      <c r="H4869" s="309">
        <v>288.3</v>
      </c>
      <c r="I4869" s="1475">
        <v>0</v>
      </c>
      <c r="J4869" s="438"/>
      <c r="K4869" s="1587" t="s">
        <v>5501</v>
      </c>
      <c r="L4869" s="1588">
        <f ca="1">HYPERLINK("#'"&amp;$G$1&amp;"'!"&amp;ADDRESS(ROW(Notes!K1482),COLUMN(Notes!K1482),4),K1482)</f>
        <v>0</v>
      </c>
      <c r="M4869" s="1544">
        <f t="shared" ca="1" si="529"/>
        <v>-288.3</v>
      </c>
      <c r="N4869" s="437"/>
      <c r="O4869" s="437"/>
      <c r="P4869" s="438"/>
      <c r="Q4869" s="442"/>
      <c r="R4869" s="443"/>
      <c r="S4869" s="364"/>
      <c r="Z4869" s="609" t="s">
        <v>4314</v>
      </c>
      <c r="AA4869" s="609" t="s">
        <v>4315</v>
      </c>
    </row>
    <row r="4870" spans="1:27" ht="18">
      <c r="A4870" s="2714"/>
      <c r="B4870" s="371">
        <v>104</v>
      </c>
      <c r="C4870" s="371"/>
      <c r="D4870" s="2716">
        <f t="shared" si="528"/>
        <v>1</v>
      </c>
      <c r="E4870" s="2721">
        <v>1</v>
      </c>
      <c r="F4870" s="293"/>
      <c r="G4870" s="308" t="s">
        <v>4320</v>
      </c>
      <c r="H4870" s="309"/>
      <c r="I4870" s="1475">
        <v>0</v>
      </c>
      <c r="J4870" s="438"/>
      <c r="K4870" s="1587" t="s">
        <v>5502</v>
      </c>
      <c r="L4870" s="1588">
        <f ca="1">HYPERLINK("#'"&amp;$G$1&amp;"'!"&amp;ADDRESS(ROW(Notes!K856),COLUMN(Notes!K856),4),HYPERLINK("#'"&amp;$G$1&amp;"'!"&amp;ADDRESS(ROW(Notes!K856),COLUMN(Notes!K856),4),K856))</f>
        <v>0</v>
      </c>
      <c r="M4870" s="1544">
        <f t="shared" ca="1" si="529"/>
        <v>0</v>
      </c>
      <c r="N4870" s="437"/>
      <c r="O4870" s="437"/>
      <c r="P4870" s="438"/>
      <c r="Q4870" s="442"/>
      <c r="R4870" s="443"/>
      <c r="S4870" s="364"/>
      <c r="Z4870" s="609" t="s">
        <v>4314</v>
      </c>
      <c r="AA4870" s="609" t="s">
        <v>4315</v>
      </c>
    </row>
    <row r="4871" spans="1:27" ht="18">
      <c r="A4871" s="2714"/>
      <c r="B4871" s="371">
        <v>105</v>
      </c>
      <c r="C4871" s="371"/>
      <c r="D4871" s="2716">
        <f t="shared" si="528"/>
        <v>1</v>
      </c>
      <c r="E4871" s="2721">
        <v>1</v>
      </c>
      <c r="F4871" s="293"/>
      <c r="G4871" s="1474" t="s">
        <v>4321</v>
      </c>
      <c r="H4871" s="309"/>
      <c r="I4871" s="1475">
        <v>0</v>
      </c>
      <c r="J4871" s="438"/>
      <c r="K4871" s="2671" t="s">
        <v>6369</v>
      </c>
      <c r="L4871" s="1588">
        <f ca="1">HYPERLINK("#'"&amp;$G$1&amp;"'!"&amp;ADDRESS(ROW(Notes!K1918),COLUMN(Notes!K1918),4),K1918)</f>
        <v>0</v>
      </c>
      <c r="M4871" s="1544">
        <f t="shared" ca="1" si="529"/>
        <v>0</v>
      </c>
      <c r="N4871" s="437"/>
      <c r="O4871" s="437"/>
      <c r="P4871" s="438"/>
      <c r="Q4871" s="442"/>
      <c r="R4871" s="443"/>
      <c r="S4871" s="364"/>
      <c r="Z4871" s="609" t="s">
        <v>4314</v>
      </c>
      <c r="AA4871" s="609" t="s">
        <v>4315</v>
      </c>
    </row>
    <row r="4872" spans="1:27" ht="18">
      <c r="A4872" s="2714"/>
      <c r="B4872" s="371">
        <v>106</v>
      </c>
      <c r="C4872" s="371"/>
      <c r="D4872" s="2716">
        <f t="shared" si="528"/>
        <v>1</v>
      </c>
      <c r="E4872" s="2721">
        <v>1</v>
      </c>
      <c r="F4872" s="293"/>
      <c r="G4872" s="1474" t="s">
        <v>4322</v>
      </c>
      <c r="H4872" s="309"/>
      <c r="I4872" s="1475">
        <v>0</v>
      </c>
      <c r="J4872" s="438"/>
      <c r="K4872" s="1587" t="s">
        <v>5503</v>
      </c>
      <c r="L4872" s="1588">
        <f ca="1">HYPERLINK("#'"&amp;$G$1&amp;"'!"&amp;ADDRESS(ROW(Notes!K2128),COLUMN(Notes!K2128),4),K2128)</f>
        <v>0</v>
      </c>
      <c r="M4872" s="1544">
        <f t="shared" ca="1" si="529"/>
        <v>0</v>
      </c>
      <c r="N4872" s="437"/>
      <c r="O4872" s="437"/>
      <c r="P4872" s="438"/>
      <c r="Q4872" s="442"/>
      <c r="R4872" s="443"/>
      <c r="S4872" s="364"/>
      <c r="Z4872" s="609" t="s">
        <v>4314</v>
      </c>
      <c r="AA4872" s="609" t="s">
        <v>4315</v>
      </c>
    </row>
    <row r="4873" spans="1:27" ht="18">
      <c r="A4873" s="2714"/>
      <c r="B4873" s="371">
        <v>107</v>
      </c>
      <c r="C4873" s="371"/>
      <c r="D4873" s="2716">
        <f t="shared" si="528"/>
        <v>1</v>
      </c>
      <c r="E4873" s="2721">
        <v>1</v>
      </c>
      <c r="F4873" s="293"/>
      <c r="G4873" s="1474" t="s">
        <v>4323</v>
      </c>
      <c r="H4873" s="309"/>
      <c r="I4873" s="1475">
        <v>0</v>
      </c>
      <c r="J4873" s="438"/>
      <c r="K4873" s="1587" t="s">
        <v>5504</v>
      </c>
      <c r="L4873" s="1588">
        <f ca="1">HYPERLINK("#'"&amp;$G$1&amp;"'!"&amp;ADDRESS(ROW(Notes!K2340),COLUMN(Notes!K2340),4),K2340)</f>
        <v>0</v>
      </c>
      <c r="M4873" s="1544">
        <f t="shared" ca="1" si="529"/>
        <v>0</v>
      </c>
      <c r="N4873" s="437"/>
      <c r="O4873" s="437"/>
      <c r="P4873" s="438"/>
      <c r="Q4873" s="442"/>
      <c r="R4873" s="443"/>
      <c r="S4873" s="364"/>
      <c r="Z4873" s="609" t="s">
        <v>4314</v>
      </c>
      <c r="AA4873" s="609" t="s">
        <v>4315</v>
      </c>
    </row>
    <row r="4874" spans="1:27" ht="18">
      <c r="A4874" s="2714"/>
      <c r="B4874" s="371">
        <v>108</v>
      </c>
      <c r="C4874" s="371" t="s">
        <v>2791</v>
      </c>
      <c r="D4874" s="2716">
        <f t="shared" si="528"/>
        <v>0</v>
      </c>
      <c r="E4874" s="2721">
        <v>1</v>
      </c>
      <c r="F4874" s="293"/>
      <c r="G4874" s="319" t="s">
        <v>2792</v>
      </c>
      <c r="H4874" s="309"/>
      <c r="I4874" s="1475">
        <v>0</v>
      </c>
      <c r="J4874" s="438"/>
      <c r="M4874" s="1544"/>
      <c r="N4874" s="437"/>
      <c r="O4874" s="437"/>
      <c r="P4874" s="438"/>
      <c r="Q4874" s="442"/>
      <c r="R4874" s="443"/>
      <c r="S4874" s="364"/>
      <c r="Z4874" s="609" t="s">
        <v>4314</v>
      </c>
      <c r="AA4874" s="609" t="s">
        <v>4315</v>
      </c>
    </row>
    <row r="4875" spans="1:27" ht="18.75" thickBot="1">
      <c r="A4875" s="2714"/>
      <c r="B4875" s="371"/>
      <c r="C4875" s="371"/>
      <c r="D4875" s="2716">
        <f t="shared" si="528"/>
        <v>1</v>
      </c>
      <c r="E4875" s="2721" t="s">
        <v>2751</v>
      </c>
      <c r="F4875" s="293"/>
      <c r="G4875" s="2234" t="s">
        <v>2752</v>
      </c>
      <c r="H4875" s="2325">
        <f>SUMPRODUCT($E4866:$E4874,H4866:H4874)</f>
        <v>4831.16</v>
      </c>
      <c r="I4875" s="2342">
        <f>SUMPRODUCT($E4866:$E4874,I4866:I4874)</f>
        <v>0</v>
      </c>
      <c r="J4875" s="440"/>
      <c r="M4875" s="1557">
        <f t="shared" ref="M4875" ca="1" si="530">SUM(M4867:M4874)</f>
        <v>-4831.16</v>
      </c>
      <c r="N4875" s="437"/>
      <c r="O4875" s="437"/>
      <c r="P4875" s="440"/>
      <c r="Q4875" s="442"/>
      <c r="R4875" s="443"/>
      <c r="S4875" s="364"/>
      <c r="Z4875" s="609" t="s">
        <v>4314</v>
      </c>
      <c r="AA4875" s="609" t="s">
        <v>4315</v>
      </c>
    </row>
    <row r="4876" spans="1:27" ht="18">
      <c r="A4876" s="2714"/>
      <c r="B4876" s="371"/>
      <c r="C4876" s="371" t="s">
        <v>2755</v>
      </c>
      <c r="D4876" s="2716"/>
      <c r="F4876" s="293"/>
      <c r="G4876" s="376"/>
      <c r="H4876" s="315"/>
      <c r="I4876" s="396"/>
      <c r="J4876" s="425"/>
      <c r="K4876" s="1585" t="s">
        <v>5495</v>
      </c>
      <c r="L4876" s="427"/>
      <c r="O4876" s="427"/>
      <c r="P4876" s="425"/>
      <c r="Q4876" s="442"/>
      <c r="R4876" s="443"/>
      <c r="S4876" s="364"/>
      <c r="Z4876" s="609" t="s">
        <v>4314</v>
      </c>
      <c r="AA4876" s="609" t="s">
        <v>4315</v>
      </c>
    </row>
    <row r="4877" spans="1:27" ht="18">
      <c r="A4877" s="2714">
        <v>6671</v>
      </c>
      <c r="B4877" s="371">
        <v>72</v>
      </c>
      <c r="C4877" s="2716" t="str">
        <f>VLOOKUP($A4877,Sheet_Items,2,0)</f>
        <v>资产减值损失</v>
      </c>
      <c r="D4877" s="371"/>
      <c r="E4877" s="2716" t="s">
        <v>2739</v>
      </c>
      <c r="F4877" s="294"/>
      <c r="G4877" s="305" t="str">
        <f>B4877&amp;" "&amp;C4877</f>
        <v>72 资产减值损失</v>
      </c>
      <c r="H4877" s="306"/>
      <c r="I4877" s="306"/>
      <c r="J4877" s="306" t="s">
        <v>4206</v>
      </c>
      <c r="K4877" s="341">
        <f>VLOOKUP($A4877,Sheet_Trialbal,6,0)</f>
        <v>0</v>
      </c>
      <c r="L4877" s="342"/>
      <c r="M4877" s="306" t="s">
        <v>4207</v>
      </c>
      <c r="N4877" s="341">
        <f>VLOOKUP($A4877,Sheet_Trialbal,10,0)</f>
        <v>-35987.15</v>
      </c>
      <c r="O4877" s="306"/>
      <c r="P4877" s="301"/>
      <c r="S4877" s="364"/>
      <c r="Z4877" s="609" t="s">
        <v>4324</v>
      </c>
      <c r="AA4877" s="609" t="s">
        <v>5714</v>
      </c>
    </row>
    <row r="4878" spans="1:27" ht="18">
      <c r="A4878" s="2714" t="s">
        <v>1927</v>
      </c>
      <c r="B4878" s="371">
        <v>1</v>
      </c>
      <c r="C4878" s="371"/>
      <c r="D4878" s="2716" t="str">
        <f>VLOOKUP($A4878,Sheet_NoteList,2,0)</f>
        <v>资产减值损失明细项目</v>
      </c>
      <c r="E4878" s="2716" t="s">
        <v>2742</v>
      </c>
      <c r="F4878" s="294"/>
      <c r="G4878" s="372" t="str">
        <f>"("&amp;B4878&amp;")"&amp;D4878</f>
        <v>(1)资产减值损失明细项目</v>
      </c>
      <c r="H4878" s="1517" t="str">
        <f>$A4878</f>
        <v>6671a</v>
      </c>
      <c r="I4878" s="343" t="s">
        <v>2743</v>
      </c>
      <c r="J4878" s="301" t="s">
        <v>4210</v>
      </c>
      <c r="K4878" s="2210">
        <f>H4897</f>
        <v>0</v>
      </c>
      <c r="L4878" s="345" t="str">
        <f>IF($I4878="适用",IF(ROUND(K4877-K4878,2)=0,"F/S",ROUND(K4877-K4878,2)),"#N/A")</f>
        <v>F/S</v>
      </c>
      <c r="M4878" s="301" t="s">
        <v>4211</v>
      </c>
      <c r="N4878" s="2210">
        <f>I4897</f>
        <v>0</v>
      </c>
      <c r="O4878" s="345">
        <f>IF($I4878="适用",IF(ROUND(N4877-N4878,2)=0,"F/S",ROUND(N4877-N4878,2)),"#N/A")</f>
        <v>-35987.15</v>
      </c>
      <c r="P4878" s="301"/>
      <c r="Q4878" s="290" t="str">
        <f>IF($I4878="不适用","",IF(ROUND(SUM($H$4881:$I$4897),2)=0,"请输入",""))</f>
        <v>请输入</v>
      </c>
      <c r="S4878" s="364"/>
      <c r="Z4878" s="609" t="s">
        <v>4324</v>
      </c>
      <c r="AA4878" s="609" t="s">
        <v>5714</v>
      </c>
    </row>
    <row r="4879" spans="1:27" ht="0.75" customHeight="1" thickBot="1">
      <c r="A4879" s="2714"/>
      <c r="B4879" s="371"/>
      <c r="C4879" s="371"/>
      <c r="D4879" s="371"/>
      <c r="F4879" s="294"/>
      <c r="G4879" s="294" t="s">
        <v>4325</v>
      </c>
      <c r="H4879" s="294" t="s">
        <v>4223</v>
      </c>
      <c r="I4879" s="294" t="s">
        <v>4224</v>
      </c>
      <c r="J4879" s="291"/>
      <c r="K4879" s="291"/>
      <c r="L4879" s="291"/>
      <c r="M4879" s="291"/>
      <c r="S4879" s="364"/>
      <c r="Z4879" s="609" t="s">
        <v>4324</v>
      </c>
      <c r="AA4879" s="609" t="s">
        <v>5714</v>
      </c>
    </row>
    <row r="4880" spans="1:27" ht="18.75" thickTop="1">
      <c r="A4880" s="2714"/>
      <c r="B4880" s="371"/>
      <c r="C4880" s="371"/>
      <c r="D4880" s="371"/>
      <c r="E4880" s="2716" t="s">
        <v>2749</v>
      </c>
      <c r="F4880" s="294"/>
      <c r="G4880" s="2608" t="s">
        <v>47</v>
      </c>
      <c r="H4880" s="2609" t="str">
        <f>$V$4</f>
        <v>2019年度</v>
      </c>
      <c r="I4880" s="2610" t="str">
        <f>$V$5</f>
        <v>2018年度</v>
      </c>
      <c r="J4880" s="355" t="s">
        <v>5337</v>
      </c>
      <c r="K4880" s="1584" t="s">
        <v>5496</v>
      </c>
      <c r="L4880" s="1584" t="s">
        <v>5497</v>
      </c>
      <c r="M4880" s="1530" t="s">
        <v>5506</v>
      </c>
      <c r="S4880" s="364"/>
      <c r="Z4880" s="609" t="s">
        <v>4324</v>
      </c>
      <c r="AA4880" s="609" t="s">
        <v>5714</v>
      </c>
    </row>
    <row r="4881" spans="1:27" ht="18">
      <c r="A4881" s="2714"/>
      <c r="B4881" s="371">
        <v>101</v>
      </c>
      <c r="C4881" s="371"/>
      <c r="D4881" s="2716">
        <f t="shared" ref="D4881:D4897" si="531">IF(OR(G4881="*",G4881="",G4881=0),0,COUNTIF($G$4881:$G$4897,G4881))</f>
        <v>1</v>
      </c>
      <c r="E4881" s="2721">
        <v>1</v>
      </c>
      <c r="F4881" s="294"/>
      <c r="G4881" s="380" t="s">
        <v>4326</v>
      </c>
      <c r="H4881" s="2329">
        <v>0</v>
      </c>
      <c r="I4881" s="401"/>
      <c r="J4881" s="291"/>
      <c r="K4881" s="1586"/>
      <c r="L4881" s="1590"/>
      <c r="M4881" s="456"/>
      <c r="S4881" s="364"/>
      <c r="Z4881" s="609" t="s">
        <v>4324</v>
      </c>
      <c r="AA4881" s="609" t="s">
        <v>5714</v>
      </c>
    </row>
    <row r="4882" spans="1:27" ht="18">
      <c r="A4882" s="2714"/>
      <c r="B4882" s="371">
        <v>102</v>
      </c>
      <c r="C4882" s="371"/>
      <c r="D4882" s="2716">
        <f t="shared" si="531"/>
        <v>1</v>
      </c>
      <c r="E4882" s="2721">
        <v>1</v>
      </c>
      <c r="F4882" s="294"/>
      <c r="G4882" s="380" t="s">
        <v>4327</v>
      </c>
      <c r="H4882" s="383"/>
      <c r="I4882" s="401"/>
      <c r="J4882" s="291"/>
      <c r="K4882" s="1587" t="s">
        <v>5507</v>
      </c>
      <c r="L4882" s="1588">
        <f ca="1">HYPERLINK("#'"&amp;$G$1&amp;"'!"&amp;ADDRESS(ROW(Notes!I1653),COLUMN(Notes!I1653),4),I1653)</f>
        <v>0</v>
      </c>
      <c r="M4882" s="456">
        <f ca="1">L4882-H4882</f>
        <v>0</v>
      </c>
      <c r="S4882" s="364"/>
      <c r="Z4882" s="609" t="s">
        <v>4324</v>
      </c>
      <c r="AA4882" s="609" t="s">
        <v>5714</v>
      </c>
    </row>
    <row r="4883" spans="1:27" ht="24">
      <c r="A4883" s="2714"/>
      <c r="B4883" s="371">
        <v>103</v>
      </c>
      <c r="C4883" s="371"/>
      <c r="D4883" s="2716">
        <f t="shared" si="531"/>
        <v>1</v>
      </c>
      <c r="E4883" s="2721">
        <v>1</v>
      </c>
      <c r="F4883" s="294"/>
      <c r="G4883" s="380" t="s">
        <v>4328</v>
      </c>
      <c r="H4883" s="2329">
        <v>0</v>
      </c>
      <c r="I4883" s="401"/>
      <c r="J4883" s="291"/>
      <c r="K4883" s="1586"/>
      <c r="L4883" s="1590"/>
      <c r="M4883" s="456"/>
      <c r="S4883" s="364"/>
      <c r="Z4883" s="609" t="s">
        <v>4324</v>
      </c>
      <c r="AA4883" s="609" t="s">
        <v>5714</v>
      </c>
    </row>
    <row r="4884" spans="1:27" ht="18">
      <c r="A4884" s="2714"/>
      <c r="B4884" s="371">
        <v>104</v>
      </c>
      <c r="C4884" s="371"/>
      <c r="D4884" s="2716">
        <f t="shared" si="531"/>
        <v>1</v>
      </c>
      <c r="E4884" s="2721">
        <v>1</v>
      </c>
      <c r="F4884" s="294"/>
      <c r="G4884" s="380" t="s">
        <v>4329</v>
      </c>
      <c r="H4884" s="2329">
        <v>0</v>
      </c>
      <c r="I4884" s="401"/>
      <c r="J4884" s="291"/>
      <c r="K4884" s="1586"/>
      <c r="L4884" s="1590"/>
      <c r="M4884" s="456"/>
      <c r="S4884" s="364"/>
      <c r="Z4884" s="609" t="s">
        <v>4324</v>
      </c>
      <c r="AA4884" s="609" t="s">
        <v>5714</v>
      </c>
    </row>
    <row r="4885" spans="1:27" ht="18">
      <c r="A4885" s="2714"/>
      <c r="B4885" s="371">
        <v>105</v>
      </c>
      <c r="C4885" s="371"/>
      <c r="D4885" s="2716">
        <f t="shared" si="531"/>
        <v>1</v>
      </c>
      <c r="E4885" s="2721">
        <v>1</v>
      </c>
      <c r="F4885" s="294"/>
      <c r="G4885" s="380" t="s">
        <v>4330</v>
      </c>
      <c r="H4885" s="383"/>
      <c r="I4885" s="401"/>
      <c r="J4885" s="291"/>
      <c r="K4885" s="1587" t="s">
        <v>5508</v>
      </c>
      <c r="L4885" s="1588">
        <f ca="1">HYPERLINK("#'"&amp;$G$1&amp;"'!"&amp;ADDRESS(ROW(Notes!O2494),COLUMN(Notes!O2494),4),O2494)</f>
        <v>0</v>
      </c>
      <c r="M4885" s="456">
        <f t="shared" ref="M4885:M4894" ca="1" si="532">L4885-H4885</f>
        <v>0</v>
      </c>
      <c r="S4885" s="364"/>
      <c r="Z4885" s="609" t="s">
        <v>4324</v>
      </c>
      <c r="AA4885" s="609" t="s">
        <v>5714</v>
      </c>
    </row>
    <row r="4886" spans="1:27" ht="18">
      <c r="A4886" s="2714"/>
      <c r="B4886" s="371">
        <v>106</v>
      </c>
      <c r="C4886" s="371"/>
      <c r="D4886" s="2716">
        <f t="shared" si="531"/>
        <v>1</v>
      </c>
      <c r="E4886" s="2721">
        <v>1</v>
      </c>
      <c r="F4886" s="294"/>
      <c r="G4886" s="380" t="s">
        <v>4331</v>
      </c>
      <c r="H4886" s="383"/>
      <c r="I4886" s="401"/>
      <c r="J4886" s="291"/>
      <c r="K4886" s="1587" t="s">
        <v>5509</v>
      </c>
      <c r="L4886" s="1588">
        <f ca="1">HYPERLINK("#'"&amp;$G$1&amp;"'!"&amp;ADDRESS(ROW(Notes!K2587),COLUMN(Notes!K2587),4),K2587)</f>
        <v>0</v>
      </c>
      <c r="M4886" s="456">
        <f t="shared" ca="1" si="532"/>
        <v>0</v>
      </c>
      <c r="S4886" s="364"/>
      <c r="Z4886" s="609" t="s">
        <v>4324</v>
      </c>
      <c r="AA4886" s="609" t="s">
        <v>5714</v>
      </c>
    </row>
    <row r="4887" spans="1:27" ht="18">
      <c r="A4887" s="2714"/>
      <c r="B4887" s="371">
        <v>107</v>
      </c>
      <c r="C4887" s="371"/>
      <c r="D4887" s="2716">
        <f t="shared" si="531"/>
        <v>1</v>
      </c>
      <c r="E4887" s="2721">
        <v>1</v>
      </c>
      <c r="F4887" s="294"/>
      <c r="G4887" s="380" t="s">
        <v>4332</v>
      </c>
      <c r="H4887" s="383"/>
      <c r="I4887" s="401"/>
      <c r="J4887" s="291"/>
      <c r="K4887" s="1587" t="s">
        <v>5510</v>
      </c>
      <c r="L4887" s="1588">
        <f ca="1">HYPERLINK("#'"&amp;$G$1&amp;"'!"&amp;ADDRESS(ROW(Notes!L2685),COLUMN(Notes!L2685),4),L2685)</f>
        <v>0</v>
      </c>
      <c r="M4887" s="456">
        <f t="shared" ca="1" si="532"/>
        <v>0</v>
      </c>
      <c r="S4887" s="364"/>
      <c r="Z4887" s="609" t="s">
        <v>4324</v>
      </c>
      <c r="AA4887" s="609" t="s">
        <v>5714</v>
      </c>
    </row>
    <row r="4888" spans="1:27" ht="18">
      <c r="A4888" s="2714"/>
      <c r="B4888" s="371">
        <v>108</v>
      </c>
      <c r="C4888" s="371"/>
      <c r="D4888" s="2716">
        <f t="shared" si="531"/>
        <v>1</v>
      </c>
      <c r="E4888" s="2721">
        <v>1</v>
      </c>
      <c r="F4888" s="294"/>
      <c r="G4888" s="380" t="s">
        <v>4333</v>
      </c>
      <c r="H4888" s="383"/>
      <c r="I4888" s="401"/>
      <c r="J4888" s="291"/>
      <c r="K4888" s="2671" t="s">
        <v>6638</v>
      </c>
      <c r="L4888" s="1588">
        <f ca="1">HYPERLINK("#'"&amp;$G$1&amp;"'!"&amp;ADDRESS(ROW(Notes!I2917),COLUMN(Notes!I2917),4),I2917-L2917)</f>
        <v>0</v>
      </c>
      <c r="M4888" s="456">
        <f t="shared" ca="1" si="532"/>
        <v>0</v>
      </c>
      <c r="N4888" s="2264" t="s">
        <v>6370</v>
      </c>
      <c r="S4888" s="364"/>
      <c r="Z4888" s="609" t="s">
        <v>4324</v>
      </c>
      <c r="AA4888" s="609" t="s">
        <v>5714</v>
      </c>
    </row>
    <row r="4889" spans="1:27" ht="18">
      <c r="A4889" s="2714"/>
      <c r="B4889" s="371">
        <v>109</v>
      </c>
      <c r="C4889" s="371"/>
      <c r="D4889" s="2716">
        <f t="shared" si="531"/>
        <v>1</v>
      </c>
      <c r="E4889" s="2721">
        <v>1</v>
      </c>
      <c r="F4889" s="294"/>
      <c r="G4889" s="380" t="s">
        <v>4334</v>
      </c>
      <c r="H4889" s="383"/>
      <c r="I4889" s="401"/>
      <c r="J4889" s="291"/>
      <c r="K4889" s="1587" t="s">
        <v>5511</v>
      </c>
      <c r="L4889" s="1588">
        <f ca="1">HYPERLINK("#'"&amp;$G$1&amp;"'!"&amp;ADDRESS(ROW(Notes!H2888),COLUMN(Notes!H2888),4),H2888-I2888)</f>
        <v>0</v>
      </c>
      <c r="M4889" s="456">
        <f t="shared" ca="1" si="532"/>
        <v>0</v>
      </c>
      <c r="N4889" s="2264" t="s">
        <v>6370</v>
      </c>
      <c r="S4889" s="364"/>
      <c r="Z4889" s="609" t="s">
        <v>4324</v>
      </c>
      <c r="AA4889" s="609" t="s">
        <v>5714</v>
      </c>
    </row>
    <row r="4890" spans="1:27" ht="18">
      <c r="A4890" s="2714"/>
      <c r="B4890" s="371">
        <v>110</v>
      </c>
      <c r="C4890" s="371"/>
      <c r="D4890" s="2716">
        <f t="shared" si="531"/>
        <v>1</v>
      </c>
      <c r="E4890" s="2721">
        <v>1</v>
      </c>
      <c r="F4890" s="294"/>
      <c r="G4890" s="380" t="s">
        <v>4335</v>
      </c>
      <c r="H4890" s="383"/>
      <c r="I4890" s="401"/>
      <c r="J4890" s="291"/>
      <c r="K4890" s="1587" t="s">
        <v>5512</v>
      </c>
      <c r="L4890" s="1588">
        <f ca="1">HYPERLINK("#'"&amp;$G$1&amp;"'!"&amp;ADDRESS(ROW(Notes!K2966),COLUMN(Notes!K2966),4),K2966)</f>
        <v>0</v>
      </c>
      <c r="M4890" s="456">
        <f t="shared" ca="1" si="532"/>
        <v>0</v>
      </c>
      <c r="S4890" s="364"/>
      <c r="Z4890" s="609" t="s">
        <v>4324</v>
      </c>
      <c r="AA4890" s="609" t="s">
        <v>5714</v>
      </c>
    </row>
    <row r="4891" spans="1:27" ht="18">
      <c r="A4891" s="2714"/>
      <c r="B4891" s="371">
        <v>111</v>
      </c>
      <c r="C4891" s="371"/>
      <c r="D4891" s="2716">
        <f t="shared" si="531"/>
        <v>1</v>
      </c>
      <c r="E4891" s="2721">
        <v>1</v>
      </c>
      <c r="F4891" s="294"/>
      <c r="G4891" s="380" t="s">
        <v>4336</v>
      </c>
      <c r="H4891" s="383"/>
      <c r="I4891" s="401"/>
      <c r="J4891" s="291"/>
      <c r="K4891" s="1587" t="s">
        <v>5513</v>
      </c>
      <c r="L4891" s="1588">
        <f ca="1">HYPERLINK("#'"&amp;$G$1&amp;"'!"&amp;ADDRESS(ROW(Notes!L3031),COLUMN(Notes!L3031),4),L3031)</f>
        <v>0</v>
      </c>
      <c r="M4891" s="456">
        <f t="shared" ca="1" si="532"/>
        <v>0</v>
      </c>
      <c r="S4891" s="364"/>
      <c r="Z4891" s="609" t="s">
        <v>4324</v>
      </c>
      <c r="AA4891" s="609" t="s">
        <v>5714</v>
      </c>
    </row>
    <row r="4892" spans="1:27" ht="18">
      <c r="A4892" s="2714"/>
      <c r="B4892" s="371">
        <v>112</v>
      </c>
      <c r="C4892" s="371"/>
      <c r="D4892" s="2716">
        <f t="shared" si="531"/>
        <v>1</v>
      </c>
      <c r="E4892" s="2721">
        <v>1</v>
      </c>
      <c r="F4892" s="294"/>
      <c r="G4892" s="380" t="s">
        <v>4337</v>
      </c>
      <c r="H4892" s="383"/>
      <c r="I4892" s="401"/>
      <c r="J4892" s="291"/>
      <c r="K4892" s="1587" t="s">
        <v>5514</v>
      </c>
      <c r="L4892" s="1588">
        <f ca="1">HYPERLINK("#'"&amp;$G$1&amp;"'!"&amp;ADDRESS(ROW(Notes!L3089),COLUMN(Notes!L3089),4),L3089)</f>
        <v>0</v>
      </c>
      <c r="M4892" s="456">
        <f t="shared" ca="1" si="532"/>
        <v>0</v>
      </c>
      <c r="S4892" s="364"/>
      <c r="Z4892" s="609" t="s">
        <v>4324</v>
      </c>
      <c r="AA4892" s="609" t="s">
        <v>5714</v>
      </c>
    </row>
    <row r="4893" spans="1:27" ht="18">
      <c r="A4893" s="2714"/>
      <c r="B4893" s="371">
        <v>113</v>
      </c>
      <c r="C4893" s="371"/>
      <c r="D4893" s="2716">
        <f t="shared" si="531"/>
        <v>1</v>
      </c>
      <c r="E4893" s="2721">
        <v>1</v>
      </c>
      <c r="F4893" s="294"/>
      <c r="G4893" s="380" t="s">
        <v>4338</v>
      </c>
      <c r="H4893" s="383"/>
      <c r="I4893" s="401"/>
      <c r="J4893" s="291"/>
      <c r="K4893" s="1587" t="s">
        <v>5515</v>
      </c>
      <c r="L4893" s="1588">
        <f ca="1">HYPERLINK("#'"&amp;$G$1&amp;"'!"&amp;ADDRESS(ROW(Notes!I3210),COLUMN(Notes!I3210),4),I3210)</f>
        <v>0</v>
      </c>
      <c r="M4893" s="456">
        <f t="shared" ca="1" si="532"/>
        <v>0</v>
      </c>
      <c r="S4893" s="364"/>
      <c r="Z4893" s="609" t="s">
        <v>4324</v>
      </c>
      <c r="AA4893" s="609" t="s">
        <v>5714</v>
      </c>
    </row>
    <row r="4894" spans="1:27" ht="18">
      <c r="A4894" s="2714"/>
      <c r="B4894" s="371">
        <v>114</v>
      </c>
      <c r="C4894" s="371"/>
      <c r="D4894" s="2716">
        <f t="shared" si="531"/>
        <v>1</v>
      </c>
      <c r="E4894" s="2721">
        <v>1</v>
      </c>
      <c r="F4894" s="294"/>
      <c r="G4894" s="380" t="s">
        <v>4339</v>
      </c>
      <c r="H4894" s="383"/>
      <c r="I4894" s="401"/>
      <c r="J4894" s="291"/>
      <c r="K4894" s="1587" t="s">
        <v>5516</v>
      </c>
      <c r="L4894" s="1588">
        <f ca="1">HYPERLINK("#'"&amp;$G$1&amp;"'!"&amp;ADDRESS(ROW(Notes!I1787),COLUMN(Notes!I1787),4),I1787)</f>
        <v>0</v>
      </c>
      <c r="M4894" s="456">
        <f t="shared" ca="1" si="532"/>
        <v>0</v>
      </c>
      <c r="S4894" s="364"/>
      <c r="Z4894" s="609" t="s">
        <v>4324</v>
      </c>
      <c r="AA4894" s="609" t="s">
        <v>5714</v>
      </c>
    </row>
    <row r="4895" spans="1:27" ht="18">
      <c r="A4895" s="2714"/>
      <c r="B4895" s="371">
        <v>115</v>
      </c>
      <c r="C4895" s="371" t="s">
        <v>2791</v>
      </c>
      <c r="D4895" s="2716">
        <f t="shared" si="531"/>
        <v>0</v>
      </c>
      <c r="E4895" s="2721">
        <v>1</v>
      </c>
      <c r="F4895" s="294"/>
      <c r="G4895" s="409" t="s">
        <v>2792</v>
      </c>
      <c r="H4895" s="383"/>
      <c r="I4895" s="401"/>
      <c r="J4895" s="291"/>
      <c r="K4895" s="1586"/>
      <c r="L4895" s="1590"/>
      <c r="M4895" s="456"/>
      <c r="S4895" s="364"/>
      <c r="Z4895" s="609" t="s">
        <v>4324</v>
      </c>
      <c r="AA4895" s="609" t="s">
        <v>5714</v>
      </c>
    </row>
    <row r="4896" spans="1:27" ht="18">
      <c r="A4896" s="2714"/>
      <c r="B4896" s="371">
        <v>116</v>
      </c>
      <c r="C4896" s="371" t="s">
        <v>2791</v>
      </c>
      <c r="D4896" s="2716">
        <f t="shared" si="531"/>
        <v>0</v>
      </c>
      <c r="E4896" s="2721">
        <v>1</v>
      </c>
      <c r="F4896" s="294"/>
      <c r="G4896" s="409" t="s">
        <v>2792</v>
      </c>
      <c r="H4896" s="383"/>
      <c r="I4896" s="401"/>
      <c r="J4896" s="291"/>
      <c r="K4896" s="1586"/>
      <c r="L4896" s="1590"/>
      <c r="M4896" s="456"/>
      <c r="S4896" s="364"/>
      <c r="Z4896" s="609" t="s">
        <v>4324</v>
      </c>
      <c r="AA4896" s="609" t="s">
        <v>5714</v>
      </c>
    </row>
    <row r="4897" spans="1:27" ht="18.75" thickBot="1">
      <c r="A4897" s="2714"/>
      <c r="B4897" s="371"/>
      <c r="C4897" s="371"/>
      <c r="D4897" s="2716">
        <f t="shared" si="531"/>
        <v>1</v>
      </c>
      <c r="E4897" s="2721" t="s">
        <v>2751</v>
      </c>
      <c r="F4897" s="294"/>
      <c r="G4897" s="2330" t="s">
        <v>2752</v>
      </c>
      <c r="H4897" s="2331">
        <f>SUMPRODUCT($E4880:$E4896,H4880:H4896)</f>
        <v>0</v>
      </c>
      <c r="I4897" s="2332">
        <f>SUMPRODUCT($E4880:$E4896,I4880:I4896)</f>
        <v>0</v>
      </c>
      <c r="J4897" s="291"/>
      <c r="M4897" s="1531">
        <f t="shared" ref="M4897" ca="1" si="533">SUM(M4881:M4896)</f>
        <v>0</v>
      </c>
      <c r="S4897" s="364"/>
      <c r="Z4897" s="609" t="s">
        <v>4324</v>
      </c>
      <c r="AA4897" s="609" t="s">
        <v>5714</v>
      </c>
    </row>
    <row r="4898" spans="1:27" ht="18">
      <c r="A4898" s="2714"/>
      <c r="B4898" s="371"/>
      <c r="C4898" s="371" t="s">
        <v>2755</v>
      </c>
      <c r="D4898" s="371"/>
      <c r="F4898" s="294"/>
      <c r="G4898" s="301"/>
      <c r="H4898" s="349"/>
      <c r="I4898" s="349"/>
      <c r="J4898" s="291"/>
      <c r="K4898" s="1539" t="s">
        <v>5505</v>
      </c>
      <c r="N4898" s="354"/>
      <c r="S4898" s="364"/>
      <c r="Z4898" s="609" t="s">
        <v>4324</v>
      </c>
      <c r="AA4898" s="609" t="s">
        <v>5714</v>
      </c>
    </row>
    <row r="4899" spans="1:27" ht="17.25">
      <c r="A4899" s="2715">
        <v>6171</v>
      </c>
      <c r="B4899" s="371">
        <v>73</v>
      </c>
      <c r="C4899" s="2716" t="str">
        <f>VLOOKUP($A4899,Sheet_Items,2,0)</f>
        <v>资产处置收益</v>
      </c>
      <c r="D4899" s="371"/>
      <c r="E4899" s="2716" t="s">
        <v>2739</v>
      </c>
      <c r="F4899" s="371"/>
      <c r="G4899" s="305" t="str">
        <f>B4899&amp;" "&amp;C4899</f>
        <v>73 资产处置收益</v>
      </c>
      <c r="H4899" s="306"/>
      <c r="I4899" s="306"/>
      <c r="J4899" s="306" t="s">
        <v>4206</v>
      </c>
      <c r="K4899" s="341">
        <f>VLOOKUP($A4899,Sheet_Trialbal,6,0)</f>
        <v>0</v>
      </c>
      <c r="L4899" s="342"/>
      <c r="M4899" s="306" t="s">
        <v>4207</v>
      </c>
      <c r="N4899" s="341">
        <f>VLOOKUP($A4899,Sheet_Trialbal,10,0)</f>
        <v>0</v>
      </c>
      <c r="O4899" s="342"/>
      <c r="P4899" s="301"/>
      <c r="S4899" s="364"/>
      <c r="Z4899" s="609" t="s">
        <v>4340</v>
      </c>
      <c r="AA4899" s="609" t="s">
        <v>5715</v>
      </c>
    </row>
    <row r="4900" spans="1:27" ht="18">
      <c r="A4900" s="2714" t="s">
        <v>1888</v>
      </c>
      <c r="B4900" s="371">
        <v>1</v>
      </c>
      <c r="C4900" s="371"/>
      <c r="D4900" s="2716" t="str">
        <f>VLOOKUP($A4900,Sheet_NoteList,2,0)</f>
        <v>资产处置收益明细项目</v>
      </c>
      <c r="E4900" s="2716" t="s">
        <v>2742</v>
      </c>
      <c r="F4900" s="371"/>
      <c r="G4900" s="372" t="str">
        <f>"("&amp;B4900&amp;")"&amp;D4900</f>
        <v>(1)资产处置收益明细项目</v>
      </c>
      <c r="H4900" s="1517" t="str">
        <f>$A4900</f>
        <v>6171a</v>
      </c>
      <c r="I4900" s="343" t="s">
        <v>2743</v>
      </c>
      <c r="J4900" s="301" t="s">
        <v>4210</v>
      </c>
      <c r="K4900" s="2210">
        <f>H4912</f>
        <v>0</v>
      </c>
      <c r="L4900" s="349" t="str">
        <f>IF($I4900="适用",IF(ROUND(K$4899-K4900,2)=0,"F/S",ROUND(K$4899-K4900,2)),"#N/A")</f>
        <v>F/S</v>
      </c>
      <c r="M4900" s="301" t="s">
        <v>4211</v>
      </c>
      <c r="N4900" s="2210">
        <f>I4912</f>
        <v>0</v>
      </c>
      <c r="O4900" s="349" t="str">
        <f>IF($I4900="适用",IF(ROUND(N$4899-N4900,2)=0,"F/S",ROUND(N$4899-N4900,2)),"#N/A")</f>
        <v>F/S</v>
      </c>
      <c r="P4900" s="301"/>
      <c r="S4900" s="364"/>
      <c r="Z4900" s="609" t="s">
        <v>4340</v>
      </c>
      <c r="AA4900" s="609" t="s">
        <v>5715</v>
      </c>
    </row>
    <row r="4901" spans="1:27" ht="0.75" customHeight="1" thickBot="1">
      <c r="A4901" s="2714"/>
      <c r="B4901" s="371"/>
      <c r="C4901" s="371"/>
      <c r="D4901" s="2716"/>
      <c r="F4901" s="371"/>
      <c r="G4901" s="405" t="s">
        <v>4341</v>
      </c>
      <c r="H4901" s="371" t="s">
        <v>4223</v>
      </c>
      <c r="I4901" s="371" t="s">
        <v>4224</v>
      </c>
      <c r="J4901" s="301"/>
      <c r="K4901" s="391"/>
      <c r="L4901" s="349"/>
      <c r="M4901" s="301"/>
      <c r="N4901" s="391"/>
      <c r="O4901" s="349"/>
      <c r="P4901" s="301"/>
      <c r="S4901" s="364"/>
      <c r="Z4901" s="609" t="s">
        <v>4340</v>
      </c>
      <c r="AA4901" s="609" t="s">
        <v>5715</v>
      </c>
    </row>
    <row r="4902" spans="1:27" ht="18">
      <c r="A4902" s="2714"/>
      <c r="B4902" s="371"/>
      <c r="C4902" s="371"/>
      <c r="D4902" s="2716"/>
      <c r="E4902" s="2716" t="s">
        <v>2749</v>
      </c>
      <c r="F4902" s="371"/>
      <c r="G4902" s="373" t="s">
        <v>47</v>
      </c>
      <c r="H4902" s="406" t="str">
        <f>$V$4</f>
        <v>2019年度</v>
      </c>
      <c r="I4902" s="417" t="str">
        <f>$V$5</f>
        <v>2018年度</v>
      </c>
      <c r="J4902" s="355" t="s">
        <v>5338</v>
      </c>
      <c r="K4902" s="391"/>
      <c r="L4902" s="349"/>
      <c r="M4902" s="301"/>
      <c r="N4902" s="391"/>
      <c r="O4902" s="349"/>
      <c r="P4902" s="301"/>
      <c r="S4902" s="364"/>
      <c r="Z4902" s="609" t="s">
        <v>4340</v>
      </c>
      <c r="AA4902" s="609" t="s">
        <v>5715</v>
      </c>
    </row>
    <row r="4903" spans="1:27" ht="60">
      <c r="A4903" s="2714"/>
      <c r="B4903" s="371">
        <v>101</v>
      </c>
      <c r="C4903" s="371"/>
      <c r="D4903" s="2716">
        <f t="shared" ref="D4903:D4912" si="534">IF(OR(G4903="*",G4903="",G4903=0),0,COUNTIF($G$4903:$G$4912,G4903))</f>
        <v>1</v>
      </c>
      <c r="E4903" s="2721">
        <v>1</v>
      </c>
      <c r="F4903" s="371"/>
      <c r="G4903" s="308" t="s">
        <v>4342</v>
      </c>
      <c r="H4903" s="309"/>
      <c r="I4903" s="394"/>
      <c r="J4903" s="301"/>
      <c r="K4903" s="391"/>
      <c r="L4903" s="349"/>
      <c r="M4903" s="301"/>
      <c r="N4903" s="391"/>
      <c r="O4903" s="349"/>
      <c r="P4903" s="301"/>
      <c r="S4903" s="364"/>
      <c r="Z4903" s="609" t="s">
        <v>4340</v>
      </c>
      <c r="AA4903" s="609" t="s">
        <v>5715</v>
      </c>
    </row>
    <row r="4904" spans="1:27" ht="48">
      <c r="A4904" s="2714"/>
      <c r="B4904" s="371">
        <v>102</v>
      </c>
      <c r="C4904" s="371"/>
      <c r="D4904" s="2716">
        <f t="shared" si="534"/>
        <v>1</v>
      </c>
      <c r="E4904" s="2721">
        <v>1</v>
      </c>
      <c r="F4904" s="371"/>
      <c r="G4904" s="308" t="s">
        <v>4343</v>
      </c>
      <c r="H4904" s="309"/>
      <c r="I4904" s="394"/>
      <c r="J4904" s="301"/>
      <c r="K4904" s="391"/>
      <c r="L4904" s="349"/>
      <c r="M4904" s="301"/>
      <c r="N4904" s="391"/>
      <c r="O4904" s="349"/>
      <c r="P4904" s="301"/>
      <c r="S4904" s="364"/>
      <c r="Z4904" s="609" t="s">
        <v>4340</v>
      </c>
      <c r="AA4904" s="609" t="s">
        <v>5715</v>
      </c>
    </row>
    <row r="4905" spans="1:27" ht="18">
      <c r="A4905" s="2714"/>
      <c r="B4905" s="371">
        <v>103</v>
      </c>
      <c r="C4905" s="371"/>
      <c r="D4905" s="2716">
        <f t="shared" si="534"/>
        <v>1</v>
      </c>
      <c r="E4905" s="2721">
        <v>0</v>
      </c>
      <c r="F4905" s="371"/>
      <c r="G4905" s="603" t="s">
        <v>353</v>
      </c>
      <c r="H4905" s="309"/>
      <c r="I4905" s="394"/>
      <c r="J4905" s="301"/>
      <c r="K4905" s="391"/>
      <c r="L4905" s="349"/>
      <c r="M4905" s="301"/>
      <c r="N4905" s="391"/>
      <c r="O4905" s="349"/>
      <c r="P4905" s="301"/>
      <c r="S4905" s="364"/>
      <c r="Z4905" s="609" t="s">
        <v>4340</v>
      </c>
      <c r="AA4905" s="609" t="s">
        <v>5715</v>
      </c>
    </row>
    <row r="4906" spans="1:27" ht="18">
      <c r="A4906" s="2714"/>
      <c r="B4906" s="371">
        <v>104</v>
      </c>
      <c r="C4906" s="371"/>
      <c r="D4906" s="2716">
        <f t="shared" si="534"/>
        <v>1</v>
      </c>
      <c r="E4906" s="2721">
        <v>0</v>
      </c>
      <c r="F4906" s="371"/>
      <c r="G4906" s="603" t="s">
        <v>396</v>
      </c>
      <c r="H4906" s="309"/>
      <c r="I4906" s="394"/>
      <c r="J4906" s="301"/>
      <c r="K4906" s="391"/>
      <c r="L4906" s="349"/>
      <c r="M4906" s="301"/>
      <c r="N4906" s="391"/>
      <c r="O4906" s="349"/>
      <c r="P4906" s="301"/>
      <c r="S4906" s="364"/>
      <c r="Z4906" s="609" t="s">
        <v>4340</v>
      </c>
      <c r="AA4906" s="609" t="s">
        <v>5715</v>
      </c>
    </row>
    <row r="4907" spans="1:27" ht="18">
      <c r="A4907" s="2714"/>
      <c r="B4907" s="371">
        <v>105</v>
      </c>
      <c r="C4907" s="371"/>
      <c r="D4907" s="2716">
        <f t="shared" si="534"/>
        <v>1</v>
      </c>
      <c r="E4907" s="2721">
        <v>0</v>
      </c>
      <c r="F4907" s="371"/>
      <c r="G4907" s="603" t="s">
        <v>344</v>
      </c>
      <c r="H4907" s="309"/>
      <c r="I4907" s="394"/>
      <c r="J4907" s="301"/>
      <c r="K4907" s="391"/>
      <c r="L4907" s="349"/>
      <c r="M4907" s="301"/>
      <c r="N4907" s="391"/>
      <c r="O4907" s="349"/>
      <c r="P4907" s="301"/>
      <c r="S4907" s="364"/>
      <c r="Z4907" s="609" t="s">
        <v>4340</v>
      </c>
      <c r="AA4907" s="609" t="s">
        <v>5715</v>
      </c>
    </row>
    <row r="4908" spans="1:27" ht="18">
      <c r="A4908" s="2714"/>
      <c r="B4908" s="371">
        <v>106</v>
      </c>
      <c r="C4908" s="371"/>
      <c r="D4908" s="2716">
        <f t="shared" si="534"/>
        <v>1</v>
      </c>
      <c r="E4908" s="2721">
        <v>0</v>
      </c>
      <c r="F4908" s="371"/>
      <c r="G4908" s="603" t="s">
        <v>381</v>
      </c>
      <c r="H4908" s="309"/>
      <c r="I4908" s="394"/>
      <c r="J4908" s="301"/>
      <c r="K4908" s="391"/>
      <c r="L4908" s="349"/>
      <c r="M4908" s="301"/>
      <c r="N4908" s="391"/>
      <c r="O4908" s="349"/>
      <c r="P4908" s="301"/>
      <c r="S4908" s="364"/>
      <c r="Z4908" s="609" t="s">
        <v>4340</v>
      </c>
      <c r="AA4908" s="609" t="s">
        <v>5715</v>
      </c>
    </row>
    <row r="4909" spans="1:27" ht="48">
      <c r="A4909" s="2714"/>
      <c r="B4909" s="371">
        <v>107</v>
      </c>
      <c r="C4909" s="371"/>
      <c r="D4909" s="2716">
        <f t="shared" si="534"/>
        <v>1</v>
      </c>
      <c r="E4909" s="2721">
        <v>1</v>
      </c>
      <c r="F4909" s="371"/>
      <c r="G4909" s="308" t="s">
        <v>4344</v>
      </c>
      <c r="H4909" s="309"/>
      <c r="I4909" s="394"/>
      <c r="J4909" s="301"/>
      <c r="K4909" s="391"/>
      <c r="L4909" s="349"/>
      <c r="M4909" s="301"/>
      <c r="N4909" s="391"/>
      <c r="O4909" s="349"/>
      <c r="P4909" s="301"/>
      <c r="S4909" s="364"/>
      <c r="Z4909" s="609" t="s">
        <v>4340</v>
      </c>
      <c r="AA4909" s="609" t="s">
        <v>5715</v>
      </c>
    </row>
    <row r="4910" spans="1:27" ht="48">
      <c r="A4910" s="2714"/>
      <c r="B4910" s="371">
        <v>108</v>
      </c>
      <c r="C4910" s="371"/>
      <c r="D4910" s="2716">
        <f t="shared" si="534"/>
        <v>1</v>
      </c>
      <c r="E4910" s="2721">
        <v>1</v>
      </c>
      <c r="F4910" s="371"/>
      <c r="G4910" s="319" t="s">
        <v>4345</v>
      </c>
      <c r="H4910" s="309"/>
      <c r="I4910" s="394"/>
      <c r="J4910" s="301"/>
      <c r="K4910" s="391"/>
      <c r="L4910" s="349"/>
      <c r="M4910" s="301"/>
      <c r="N4910" s="391"/>
      <c r="O4910" s="349"/>
      <c r="P4910" s="301"/>
      <c r="S4910" s="364"/>
      <c r="Z4910" s="609" t="s">
        <v>4340</v>
      </c>
      <c r="AA4910" s="609" t="s">
        <v>5715</v>
      </c>
    </row>
    <row r="4911" spans="1:27" ht="18">
      <c r="A4911" s="2714"/>
      <c r="B4911" s="371">
        <v>109</v>
      </c>
      <c r="C4911" s="371" t="s">
        <v>2791</v>
      </c>
      <c r="D4911" s="2716">
        <f t="shared" si="534"/>
        <v>0</v>
      </c>
      <c r="E4911" s="2721">
        <v>1</v>
      </c>
      <c r="F4911" s="371"/>
      <c r="G4911" s="319" t="s">
        <v>2792</v>
      </c>
      <c r="H4911" s="309"/>
      <c r="I4911" s="394"/>
      <c r="J4911" s="301"/>
      <c r="K4911" s="391"/>
      <c r="L4911" s="349"/>
      <c r="M4911" s="301"/>
      <c r="N4911" s="391"/>
      <c r="O4911" s="349"/>
      <c r="P4911" s="301"/>
      <c r="S4911" s="364"/>
      <c r="Z4911" s="609" t="s">
        <v>4340</v>
      </c>
      <c r="AA4911" s="609" t="s">
        <v>5715</v>
      </c>
    </row>
    <row r="4912" spans="1:27" ht="18.75" thickBot="1">
      <c r="A4912" s="2714"/>
      <c r="B4912" s="371"/>
      <c r="C4912" s="371"/>
      <c r="D4912" s="2716">
        <f t="shared" si="534"/>
        <v>1</v>
      </c>
      <c r="E4912" s="2721" t="s">
        <v>2751</v>
      </c>
      <c r="F4912" s="371"/>
      <c r="G4912" s="407" t="s">
        <v>2752</v>
      </c>
      <c r="H4912" s="375">
        <f>SUMPRODUCT($E4902:$E4911,H4902:H4911)</f>
        <v>0</v>
      </c>
      <c r="I4912" s="395">
        <f>SUMPRODUCT($E4902:$E4911,I4902:I4911)</f>
        <v>0</v>
      </c>
      <c r="J4912" s="301"/>
      <c r="K4912" s="391"/>
      <c r="L4912" s="349"/>
      <c r="M4912" s="301"/>
      <c r="N4912" s="391"/>
      <c r="O4912" s="349"/>
      <c r="P4912" s="301"/>
      <c r="S4912" s="364"/>
      <c r="Z4912" s="609" t="s">
        <v>4340</v>
      </c>
      <c r="AA4912" s="609" t="s">
        <v>5715</v>
      </c>
    </row>
    <row r="4913" spans="1:29" ht="18">
      <c r="A4913" s="2714"/>
      <c r="B4913" s="371"/>
      <c r="C4913" s="371" t="s">
        <v>2755</v>
      </c>
      <c r="D4913" s="2716"/>
      <c r="F4913" s="371"/>
      <c r="G4913" s="376"/>
      <c r="H4913" s="315"/>
      <c r="I4913" s="396"/>
      <c r="J4913" s="301"/>
      <c r="K4913" s="391"/>
      <c r="L4913" s="349"/>
      <c r="M4913" s="301"/>
      <c r="N4913" s="391"/>
      <c r="O4913" s="349"/>
      <c r="P4913" s="301"/>
      <c r="S4913" s="364"/>
      <c r="Z4913" s="609" t="s">
        <v>4340</v>
      </c>
      <c r="AA4913" s="609" t="s">
        <v>5715</v>
      </c>
    </row>
    <row r="4914" spans="1:29" ht="18">
      <c r="A4914" s="2714">
        <v>6710</v>
      </c>
      <c r="B4914" s="371">
        <v>74</v>
      </c>
      <c r="C4914" s="2716" t="str">
        <f>VLOOKUP($A4914,Sheet_Items,2,0)</f>
        <v>营业外收入</v>
      </c>
      <c r="D4914" s="371"/>
      <c r="E4914" s="2716" t="s">
        <v>2739</v>
      </c>
      <c r="F4914" s="294"/>
      <c r="G4914" s="305" t="str">
        <f>B4914&amp;" "&amp;C4914</f>
        <v>74 营业外收入</v>
      </c>
      <c r="H4914" s="306"/>
      <c r="I4914" s="306"/>
      <c r="J4914" s="306" t="s">
        <v>4206</v>
      </c>
      <c r="K4914" s="341">
        <f>VLOOKUP($A4914,Sheet_Trialbal,6,0)</f>
        <v>0</v>
      </c>
      <c r="L4914" s="342"/>
      <c r="M4914" s="306" t="s">
        <v>4207</v>
      </c>
      <c r="N4914" s="341">
        <f>VLOOKUP($A4914,Sheet_Trialbal,10,0)</f>
        <v>0</v>
      </c>
      <c r="O4914" s="306"/>
      <c r="P4914" s="301"/>
      <c r="S4914" s="364"/>
      <c r="Z4914" s="609" t="s">
        <v>4148</v>
      </c>
      <c r="AA4914" s="609" t="s">
        <v>5716</v>
      </c>
    </row>
    <row r="4915" spans="1:29" ht="18">
      <c r="A4915" s="2714" t="s">
        <v>1933</v>
      </c>
      <c r="B4915" s="371">
        <v>1</v>
      </c>
      <c r="C4915" s="371"/>
      <c r="D4915" s="2716" t="str">
        <f>VLOOKUP($A4915,Sheet_NoteList,2,0)</f>
        <v>营业外收入明细项目</v>
      </c>
      <c r="E4915" s="2716" t="s">
        <v>2742</v>
      </c>
      <c r="F4915" s="294"/>
      <c r="G4915" s="307" t="str">
        <f>"("&amp;B4915&amp;")"&amp;D4915</f>
        <v>(1)营业外收入明细项目</v>
      </c>
      <c r="H4915" s="1517" t="str">
        <f>$A4915</f>
        <v>6710a</v>
      </c>
      <c r="I4915" s="343" t="s">
        <v>2743</v>
      </c>
      <c r="J4915" s="301" t="s">
        <v>4210</v>
      </c>
      <c r="K4915" s="2210">
        <f>H4926</f>
        <v>0</v>
      </c>
      <c r="L4915" s="345" t="str">
        <f>IF($I4915="适用",IF(ROUND(K$4914-K4915,2)=0,"F/S",ROUND(K$4914-K4915,2)),"#N/A")</f>
        <v>F/S</v>
      </c>
      <c r="M4915" s="301" t="s">
        <v>4211</v>
      </c>
      <c r="N4915" s="2210">
        <f>I4926</f>
        <v>0</v>
      </c>
      <c r="O4915" s="345" t="str">
        <f>IF($I4915="适用",IF(ROUND(N$4914-N4915,2)=0,"F/S",ROUND(N$4914-N4915,2)),"#N/A")</f>
        <v>F/S</v>
      </c>
      <c r="P4915" s="301"/>
      <c r="Q4915" s="290" t="str">
        <f>IF($I4915="不适用","",IF(ROUND(SUM($H$4918:$J$4926),2)=0,"请输入",""))</f>
        <v>请输入</v>
      </c>
      <c r="S4915" s="364"/>
      <c r="Z4915" s="609" t="s">
        <v>4148</v>
      </c>
      <c r="AA4915" s="609" t="s">
        <v>5716</v>
      </c>
    </row>
    <row r="4916" spans="1:29" ht="0.75" customHeight="1" thickBot="1">
      <c r="A4916" s="2714"/>
      <c r="B4916" s="371"/>
      <c r="C4916" s="371"/>
      <c r="D4916" s="371"/>
      <c r="F4916" s="294"/>
      <c r="G4916" s="294" t="s">
        <v>4346</v>
      </c>
      <c r="H4916" s="294" t="s">
        <v>4223</v>
      </c>
      <c r="I4916" s="294" t="s">
        <v>4224</v>
      </c>
      <c r="J4916" s="294" t="s">
        <v>4347</v>
      </c>
      <c r="K4916" s="291"/>
      <c r="L4916" s="291"/>
      <c r="M4916" s="291"/>
      <c r="N4916" s="291"/>
      <c r="S4916" s="364"/>
      <c r="Z4916" s="609" t="s">
        <v>4148</v>
      </c>
      <c r="AA4916" s="609" t="s">
        <v>5716</v>
      </c>
    </row>
    <row r="4917" spans="1:29" ht="24">
      <c r="A4917" s="2714"/>
      <c r="B4917" s="371"/>
      <c r="C4917" s="371"/>
      <c r="D4917" s="371"/>
      <c r="E4917" s="2716" t="s">
        <v>2749</v>
      </c>
      <c r="F4917" s="294"/>
      <c r="G4917" s="378" t="s">
        <v>47</v>
      </c>
      <c r="H4917" s="398" t="str">
        <f>$V$4</f>
        <v>2019年度</v>
      </c>
      <c r="I4917" s="398" t="str">
        <f>$V$5</f>
        <v>2018年度</v>
      </c>
      <c r="J4917" s="511" t="s">
        <v>4348</v>
      </c>
      <c r="K4917" s="355" t="s">
        <v>5339</v>
      </c>
      <c r="L4917" s="291"/>
      <c r="M4917" s="291"/>
      <c r="N4917" s="291"/>
      <c r="S4917" s="364"/>
      <c r="Z4917" s="609" t="s">
        <v>4148</v>
      </c>
      <c r="AA4917" s="609" t="s">
        <v>5716</v>
      </c>
    </row>
    <row r="4918" spans="1:29" ht="18">
      <c r="A4918" s="2714"/>
      <c r="B4918" s="371">
        <v>101</v>
      </c>
      <c r="C4918" s="371"/>
      <c r="D4918" s="2716">
        <f t="shared" ref="D4918:D4926" si="535">IF(OR(G4918="*",G4918="",G4918=0),0,COUNTIF($G$4918:$G$4926,G4918))</f>
        <v>1</v>
      </c>
      <c r="E4918" s="2721">
        <v>1</v>
      </c>
      <c r="F4918" s="294"/>
      <c r="G4918" s="380" t="s">
        <v>4349</v>
      </c>
      <c r="H4918" s="383"/>
      <c r="I4918" s="383"/>
      <c r="J4918" s="401"/>
      <c r="K4918" s="424"/>
      <c r="L4918" s="291"/>
      <c r="M4918" s="291"/>
      <c r="N4918" s="291"/>
      <c r="S4918" s="364"/>
      <c r="Z4918" s="609" t="s">
        <v>4148</v>
      </c>
      <c r="AA4918" s="609" t="s">
        <v>5716</v>
      </c>
    </row>
    <row r="4919" spans="1:29" ht="18">
      <c r="A4919" s="2714"/>
      <c r="B4919" s="371">
        <v>102</v>
      </c>
      <c r="C4919" s="371"/>
      <c r="D4919" s="2716">
        <f t="shared" si="535"/>
        <v>1</v>
      </c>
      <c r="E4919" s="2721">
        <v>1</v>
      </c>
      <c r="F4919" s="294"/>
      <c r="G4919" s="380" t="s">
        <v>4350</v>
      </c>
      <c r="H4919" s="383"/>
      <c r="I4919" s="383"/>
      <c r="J4919" s="401"/>
      <c r="K4919" s="291"/>
      <c r="L4919" s="291"/>
      <c r="M4919" s="291"/>
      <c r="N4919" s="291"/>
      <c r="S4919" s="364"/>
      <c r="Z4919" s="609" t="s">
        <v>4148</v>
      </c>
      <c r="AA4919" s="609" t="s">
        <v>5716</v>
      </c>
    </row>
    <row r="4920" spans="1:29" ht="24">
      <c r="A4920" s="2714"/>
      <c r="B4920" s="371">
        <v>103</v>
      </c>
      <c r="C4920" s="371"/>
      <c r="D4920" s="2716">
        <f t="shared" si="535"/>
        <v>1</v>
      </c>
      <c r="E4920" s="2721">
        <v>1</v>
      </c>
      <c r="F4920" s="294"/>
      <c r="G4920" s="380" t="s">
        <v>1936</v>
      </c>
      <c r="H4920" s="383"/>
      <c r="I4920" s="383"/>
      <c r="J4920" s="401"/>
      <c r="K4920" s="1533" t="str">
        <f ca="1">HYPERLINK("#'"&amp;$G$1&amp;"'!"&amp;ADDRESS(ROW(Notes!H4939),COLUMN(Notes!H4939),4),"* 请勿删除此行！点击往勾稽单元格，F5+Enter返回")</f>
        <v>* 请勿删除此行！点击往勾稽单元格，F5+Enter返回</v>
      </c>
      <c r="L4920" s="291"/>
      <c r="M4920" s="291"/>
      <c r="N4920" s="291"/>
      <c r="S4920" s="364"/>
      <c r="Z4920" s="609" t="s">
        <v>4148</v>
      </c>
      <c r="AA4920" s="609" t="s">
        <v>5716</v>
      </c>
      <c r="AC4920" s="369" t="s">
        <v>6574</v>
      </c>
    </row>
    <row r="4921" spans="1:29" ht="18">
      <c r="A4921" s="2714"/>
      <c r="B4921" s="371">
        <v>104</v>
      </c>
      <c r="C4921" s="371"/>
      <c r="D4921" s="2716">
        <f t="shared" si="535"/>
        <v>1</v>
      </c>
      <c r="E4921" s="2721">
        <v>1</v>
      </c>
      <c r="F4921" s="294"/>
      <c r="G4921" s="380" t="s">
        <v>4351</v>
      </c>
      <c r="H4921" s="383"/>
      <c r="I4921" s="383"/>
      <c r="J4921" s="401"/>
      <c r="K4921" s="357"/>
      <c r="L4921" s="291"/>
      <c r="M4921" s="291"/>
      <c r="N4921" s="291"/>
      <c r="S4921" s="364"/>
      <c r="Z4921" s="609" t="s">
        <v>4148</v>
      </c>
      <c r="AA4921" s="609" t="s">
        <v>5716</v>
      </c>
    </row>
    <row r="4922" spans="1:29" ht="18">
      <c r="A4922" s="2714"/>
      <c r="B4922" s="371">
        <v>105</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106</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
      <c r="A4924" s="2714"/>
      <c r="B4924" s="371">
        <v>107</v>
      </c>
      <c r="C4924" s="371" t="s">
        <v>2791</v>
      </c>
      <c r="D4924" s="2716">
        <f t="shared" si="535"/>
        <v>0</v>
      </c>
      <c r="E4924" s="2721">
        <v>1</v>
      </c>
      <c r="F4924" s="294"/>
      <c r="G4924" s="409" t="s">
        <v>2792</v>
      </c>
      <c r="H4924" s="383"/>
      <c r="I4924" s="383"/>
      <c r="J4924" s="401"/>
      <c r="K4924" s="291"/>
      <c r="L4924" s="291"/>
      <c r="M4924" s="291"/>
      <c r="N4924" s="291"/>
      <c r="S4924" s="364"/>
      <c r="Z4924" s="609" t="s">
        <v>4148</v>
      </c>
      <c r="AA4924" s="609" t="s">
        <v>5716</v>
      </c>
    </row>
    <row r="4925" spans="1:29" ht="18">
      <c r="A4925" s="2714"/>
      <c r="B4925" s="371">
        <v>109</v>
      </c>
      <c r="C4925" s="371" t="s">
        <v>2791</v>
      </c>
      <c r="D4925" s="2716">
        <f t="shared" si="535"/>
        <v>0</v>
      </c>
      <c r="E4925" s="2721">
        <v>1</v>
      </c>
      <c r="F4925" s="294"/>
      <c r="G4925" s="409" t="s">
        <v>2792</v>
      </c>
      <c r="H4925" s="383"/>
      <c r="I4925" s="383"/>
      <c r="J4925" s="401"/>
      <c r="K4925" s="291"/>
      <c r="L4925" s="291"/>
      <c r="M4925" s="291"/>
      <c r="N4925" s="291"/>
      <c r="S4925" s="364"/>
      <c r="Z4925" s="609" t="s">
        <v>4148</v>
      </c>
      <c r="AA4925" s="609" t="s">
        <v>5716</v>
      </c>
    </row>
    <row r="4926" spans="1:29" ht="18.75" thickBot="1">
      <c r="A4926" s="2714"/>
      <c r="B4926" s="371"/>
      <c r="C4926" s="371"/>
      <c r="D4926" s="2716">
        <f t="shared" si="535"/>
        <v>1</v>
      </c>
      <c r="E4926" s="2721" t="s">
        <v>2751</v>
      </c>
      <c r="F4926" s="294"/>
      <c r="G4926" s="403" t="s">
        <v>2752</v>
      </c>
      <c r="H4926" s="404">
        <f>SUMPRODUCT($E4917:$E4925,H4917:H4925)</f>
        <v>0</v>
      </c>
      <c r="I4926" s="404">
        <f>SUMPRODUCT($E4917:$E4925,I4917:I4925)</f>
        <v>0</v>
      </c>
      <c r="J4926" s="413">
        <f>SUMPRODUCT($E4917:$E4925,J4917:J4925)</f>
        <v>0</v>
      </c>
      <c r="K4926" s="291"/>
      <c r="L4926" s="291"/>
      <c r="M4926" s="291"/>
      <c r="N4926" s="291"/>
      <c r="S4926" s="364"/>
      <c r="Z4926" s="609" t="s">
        <v>4148</v>
      </c>
      <c r="AA4926" s="609" t="s">
        <v>5716</v>
      </c>
    </row>
    <row r="4927" spans="1:29" ht="18">
      <c r="A4927" s="2714"/>
      <c r="B4927" s="371"/>
      <c r="C4927" s="371" t="s">
        <v>2755</v>
      </c>
      <c r="D4927" s="371"/>
      <c r="F4927" s="294"/>
      <c r="G4927" s="301"/>
      <c r="H4927" s="315"/>
      <c r="I4927" s="315"/>
      <c r="J4927" s="315"/>
      <c r="K4927" s="291"/>
      <c r="L4927" s="291"/>
      <c r="M4927" s="291"/>
      <c r="N4927" s="291"/>
      <c r="S4927" s="364"/>
      <c r="Z4927" s="609" t="s">
        <v>4148</v>
      </c>
      <c r="AA4927" s="609" t="s">
        <v>5716</v>
      </c>
    </row>
    <row r="4928" spans="1:29" ht="24">
      <c r="A4928" s="2714" t="s">
        <v>1935</v>
      </c>
      <c r="B4928" s="371">
        <v>2</v>
      </c>
      <c r="C4928" s="371"/>
      <c r="D4928" s="2716" t="str">
        <f>VLOOKUP($A4928,Sheet_NoteList,2,0)</f>
        <v>与企业日常活动无关的政府补助</v>
      </c>
      <c r="E4928" s="2716" t="s">
        <v>2742</v>
      </c>
      <c r="F4928" s="294"/>
      <c r="G4928" s="372" t="str">
        <f>"("&amp;B4928&amp;")"&amp;D4928</f>
        <v>(2)与企业日常活动无关的政府补助</v>
      </c>
      <c r="H4928" s="1517" t="str">
        <f>$A4928</f>
        <v>6710b</v>
      </c>
      <c r="I4928" s="343" t="s">
        <v>2743</v>
      </c>
      <c r="J4928" s="301" t="s">
        <v>4210</v>
      </c>
      <c r="K4928" s="2210">
        <f>H4936</f>
        <v>0</v>
      </c>
      <c r="L4928" s="345"/>
      <c r="M4928" s="301" t="s">
        <v>4211</v>
      </c>
      <c r="N4928" s="2210">
        <f>I4936</f>
        <v>0</v>
      </c>
      <c r="O4928" s="345"/>
      <c r="P4928" s="301"/>
      <c r="Q4928" s="290" t="str">
        <f>IF($I4928="不适用","",IF(ROUND(SUM($H$4931:$K$4936),2)=0,"请输入",""))</f>
        <v>请输入</v>
      </c>
      <c r="S4928" s="364"/>
      <c r="Z4928" s="609" t="s">
        <v>4148</v>
      </c>
      <c r="AA4928" s="609" t="s">
        <v>5716</v>
      </c>
    </row>
    <row r="4929" spans="1:27" ht="0.75" customHeight="1" thickBot="1">
      <c r="A4929" s="2714"/>
      <c r="B4929" s="371"/>
      <c r="C4929" s="371"/>
      <c r="D4929" s="371"/>
      <c r="E4929" s="586"/>
      <c r="F4929" s="518"/>
      <c r="G4929" s="518" t="s">
        <v>4352</v>
      </c>
      <c r="H4929" s="304" t="s">
        <v>4223</v>
      </c>
      <c r="I4929" s="304" t="s">
        <v>4224</v>
      </c>
      <c r="J4929" s="304" t="s">
        <v>3671</v>
      </c>
      <c r="K4929" s="619"/>
      <c r="L4929" s="442"/>
      <c r="M4929" s="442"/>
      <c r="N4929" s="442"/>
      <c r="O4929" s="442"/>
      <c r="P4929" s="442"/>
      <c r="Q4929" s="442"/>
      <c r="R4929" s="443"/>
      <c r="S4929" s="364"/>
      <c r="Z4929" s="609" t="s">
        <v>4148</v>
      </c>
      <c r="AA4929" s="609" t="s">
        <v>5716</v>
      </c>
    </row>
    <row r="4930" spans="1:27" ht="24">
      <c r="A4930" s="2714"/>
      <c r="B4930" s="371"/>
      <c r="C4930" s="371"/>
      <c r="D4930" s="371"/>
      <c r="E4930" s="586" t="s">
        <v>2749</v>
      </c>
      <c r="F4930" s="363"/>
      <c r="G4930" s="2457" t="s">
        <v>1628</v>
      </c>
      <c r="H4930" s="2464" t="str">
        <f>$V$4</f>
        <v>2019年度</v>
      </c>
      <c r="I4930" s="2464" t="str">
        <f>$V$5</f>
        <v>2018年度</v>
      </c>
      <c r="J4930" s="2469" t="s">
        <v>5237</v>
      </c>
      <c r="K4930" s="355" t="s">
        <v>5339</v>
      </c>
      <c r="L4930" s="442"/>
      <c r="M4930" s="442"/>
      <c r="N4930" s="442"/>
      <c r="O4930" s="442"/>
      <c r="P4930" s="442"/>
      <c r="Q4930" s="442"/>
      <c r="R4930" s="443"/>
      <c r="S4930" s="364"/>
      <c r="Z4930" s="609" t="s">
        <v>4148</v>
      </c>
      <c r="AA4930" s="609" t="s">
        <v>5716</v>
      </c>
    </row>
    <row r="4931" spans="1:27" ht="18">
      <c r="A4931" s="2714"/>
      <c r="B4931" s="371">
        <v>101</v>
      </c>
      <c r="C4931" s="371" t="s">
        <v>2791</v>
      </c>
      <c r="D4931" s="2716">
        <f t="shared" ref="D4931:D4936" si="536">IF(OR(G4931="*",G4931="",G4931=0),0,COUNTIF($G$4931:$G$4936,G4931))</f>
        <v>0</v>
      </c>
      <c r="E4931" s="2721">
        <v>1</v>
      </c>
      <c r="F4931" s="294"/>
      <c r="G4931" s="2467" t="s">
        <v>2792</v>
      </c>
      <c r="H4931" s="2275"/>
      <c r="I4931" s="2275"/>
      <c r="J4931" s="2276"/>
      <c r="K4931" s="2672" t="s">
        <v>6362</v>
      </c>
      <c r="L4931" s="2673" t="s">
        <v>6363</v>
      </c>
      <c r="M4931" s="442"/>
      <c r="N4931" s="442"/>
      <c r="O4931" s="442"/>
      <c r="P4931" s="442"/>
      <c r="Q4931" s="442"/>
      <c r="R4931" s="443"/>
      <c r="S4931" s="364"/>
      <c r="Z4931" s="609" t="s">
        <v>4148</v>
      </c>
      <c r="AA4931" s="609" t="s">
        <v>5716</v>
      </c>
    </row>
    <row r="4932" spans="1:27" ht="18">
      <c r="A4932" s="2714"/>
      <c r="B4932" s="371">
        <v>102</v>
      </c>
      <c r="C4932" s="371" t="s">
        <v>2791</v>
      </c>
      <c r="D4932" s="2716">
        <f t="shared" si="536"/>
        <v>0</v>
      </c>
      <c r="E4932" s="2721">
        <v>1</v>
      </c>
      <c r="F4932" s="294"/>
      <c r="G4932" s="2467" t="s">
        <v>2792</v>
      </c>
      <c r="H4932" s="2275"/>
      <c r="I4932" s="2275"/>
      <c r="J4932" s="2276"/>
      <c r="K4932" s="1604"/>
      <c r="L4932" s="2673" t="s">
        <v>6364</v>
      </c>
      <c r="M4932" s="442"/>
      <c r="N4932" s="442"/>
      <c r="O4932" s="442"/>
      <c r="P4932" s="442"/>
      <c r="Q4932" s="442"/>
      <c r="R4932" s="443"/>
      <c r="S4932" s="364"/>
      <c r="Z4932" s="609" t="s">
        <v>4148</v>
      </c>
      <c r="AA4932" s="609" t="s">
        <v>5716</v>
      </c>
    </row>
    <row r="4933" spans="1:27" ht="18">
      <c r="A4933" s="2714"/>
      <c r="B4933" s="371">
        <v>103</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
      <c r="A4934" s="2714"/>
      <c r="B4934" s="371">
        <v>104</v>
      </c>
      <c r="C4934" s="371" t="s">
        <v>2791</v>
      </c>
      <c r="D4934" s="2716">
        <f t="shared" si="536"/>
        <v>0</v>
      </c>
      <c r="E4934" s="2721">
        <v>1</v>
      </c>
      <c r="F4934" s="294"/>
      <c r="G4934" s="2467" t="s">
        <v>2792</v>
      </c>
      <c r="H4934" s="2275"/>
      <c r="I4934" s="2275"/>
      <c r="J4934" s="2276"/>
      <c r="K4934" s="437"/>
      <c r="L4934" s="442"/>
      <c r="M4934" s="442"/>
      <c r="N4934" s="442"/>
      <c r="O4934" s="442"/>
      <c r="P4934" s="442"/>
      <c r="Q4934" s="442"/>
      <c r="R4934" s="443"/>
      <c r="S4934" s="364"/>
      <c r="Z4934" s="609" t="s">
        <v>4148</v>
      </c>
      <c r="AA4934" s="609" t="s">
        <v>5716</v>
      </c>
    </row>
    <row r="4935" spans="1:27" ht="18">
      <c r="A4935" s="2714"/>
      <c r="B4935" s="371">
        <v>105</v>
      </c>
      <c r="C4935" s="371" t="s">
        <v>2791</v>
      </c>
      <c r="D4935" s="2716">
        <f t="shared" si="536"/>
        <v>0</v>
      </c>
      <c r="E4935" s="2721">
        <v>1</v>
      </c>
      <c r="F4935" s="294"/>
      <c r="G4935" s="2467" t="s">
        <v>2792</v>
      </c>
      <c r="H4935" s="2275"/>
      <c r="I4935" s="2275"/>
      <c r="J4935" s="2276"/>
      <c r="K4935" s="437"/>
      <c r="L4935" s="442"/>
      <c r="M4935" s="442"/>
      <c r="N4935" s="442"/>
      <c r="O4935" s="442"/>
      <c r="P4935" s="442"/>
      <c r="Q4935" s="442"/>
      <c r="R4935" s="443"/>
      <c r="S4935" s="364"/>
      <c r="Z4935" s="609" t="s">
        <v>4148</v>
      </c>
      <c r="AA4935" s="609" t="s">
        <v>5716</v>
      </c>
    </row>
    <row r="4936" spans="1:27" ht="18.75" thickBot="1">
      <c r="A4936" s="2714"/>
      <c r="B4936" s="371"/>
      <c r="C4936" s="371"/>
      <c r="D4936" s="2716">
        <f t="shared" si="536"/>
        <v>1</v>
      </c>
      <c r="E4936" s="2721" t="s">
        <v>2751</v>
      </c>
      <c r="F4936" s="294"/>
      <c r="G4936" s="374" t="s">
        <v>2752</v>
      </c>
      <c r="H4936" s="1478">
        <f>SUMPRODUCT($E4930:$E4935,H4930:H4935)</f>
        <v>0</v>
      </c>
      <c r="I4936" s="1478">
        <f>SUMPRODUCT($E4930:$E4935,I4930:I4935)</f>
        <v>0</v>
      </c>
      <c r="J4936" s="2260"/>
      <c r="K4936" s="437"/>
      <c r="L4936" s="442"/>
      <c r="M4936" s="442"/>
      <c r="N4936" s="442"/>
      <c r="O4936" s="442"/>
      <c r="P4936" s="442"/>
      <c r="Q4936" s="442"/>
      <c r="R4936" s="443"/>
      <c r="S4936" s="364"/>
      <c r="Z4936" s="609" t="s">
        <v>4148</v>
      </c>
      <c r="AA4936" s="609" t="s">
        <v>5716</v>
      </c>
    </row>
    <row r="4937" spans="1:27" ht="18.75" thickBot="1">
      <c r="A4937" s="2714"/>
      <c r="B4937" s="371"/>
      <c r="C4937" s="371" t="s">
        <v>2755</v>
      </c>
      <c r="D4937" s="371"/>
      <c r="F4937" s="294"/>
      <c r="G4937" s="301"/>
      <c r="H4937" s="315" t="s">
        <v>3002</v>
      </c>
      <c r="I4937" s="315" t="s">
        <v>3002</v>
      </c>
      <c r="J4937" s="393"/>
      <c r="K4937" s="437"/>
      <c r="L4937" s="437"/>
      <c r="M4937" s="437"/>
      <c r="N4937" s="437"/>
      <c r="O4937" s="442"/>
      <c r="P4937" s="442"/>
      <c r="Q4937" s="442"/>
      <c r="R4937" s="443"/>
      <c r="S4937" s="364"/>
      <c r="Z4937" s="609" t="s">
        <v>4148</v>
      </c>
      <c r="AA4937" s="609" t="s">
        <v>5716</v>
      </c>
    </row>
    <row r="4938" spans="1:27" ht="18.75" thickTop="1">
      <c r="A4938" s="2714"/>
      <c r="B4938" s="371"/>
      <c r="C4938" s="371" t="s">
        <v>2565</v>
      </c>
      <c r="D4938" s="371"/>
      <c r="F4938" s="294"/>
      <c r="G4938" s="454" t="s">
        <v>2756</v>
      </c>
      <c r="H4938" s="455" t="str">
        <f>G4915</f>
        <v>(1)营业外收入明细项目</v>
      </c>
      <c r="I4938" s="487"/>
      <c r="J4938" s="474"/>
      <c r="K4938" s="474"/>
      <c r="L4938" s="350"/>
      <c r="M4938" s="350"/>
      <c r="N4938" s="350"/>
      <c r="S4938" s="364"/>
      <c r="Z4938" s="609" t="s">
        <v>4148</v>
      </c>
      <c r="AA4938" s="609" t="s">
        <v>5716</v>
      </c>
    </row>
    <row r="4939" spans="1:27" ht="24">
      <c r="A4939" s="2714"/>
      <c r="B4939" s="371"/>
      <c r="C4939" s="371" t="s">
        <v>2565</v>
      </c>
      <c r="D4939" s="371"/>
      <c r="F4939" s="294"/>
      <c r="G4939" s="316" t="str">
        <f>G4920</f>
        <v>与企业日常活动无关的政府补助</v>
      </c>
      <c r="H4939" s="2252">
        <f ca="1">HYPERLINK("#'"&amp;$G$1&amp;"'!"&amp;ADDRESS(ROW(Notes!H4920),COLUMN(Notes!H4920),4),H4920)</f>
        <v>0</v>
      </c>
      <c r="I4939" s="2252">
        <f ca="1">HYPERLINK("#'"&amp;$G$1&amp;"'!"&amp;ADDRESS(ROW(Notes!I4920),COLUMN(Notes!I4920),4),I4920)</f>
        <v>0</v>
      </c>
      <c r="J4939" s="351"/>
      <c r="K4939" s="2632" t="str">
        <f>H4915</f>
        <v>6710a</v>
      </c>
      <c r="L4939" s="350"/>
      <c r="M4939" s="350"/>
      <c r="N4939" s="350"/>
      <c r="S4939" s="364"/>
      <c r="Z4939" s="609" t="s">
        <v>4148</v>
      </c>
      <c r="AA4939" s="609" t="s">
        <v>5716</v>
      </c>
    </row>
    <row r="4940" spans="1:27" ht="18">
      <c r="A4940" s="2714"/>
      <c r="B4940" s="371"/>
      <c r="C4940" s="371" t="s">
        <v>2565</v>
      </c>
      <c r="D4940" s="371"/>
      <c r="F4940" s="294"/>
      <c r="G4940" s="316" t="s">
        <v>3003</v>
      </c>
      <c r="H4940" s="456">
        <f>H4936</f>
        <v>0</v>
      </c>
      <c r="I4940" s="456">
        <f>I4936</f>
        <v>0</v>
      </c>
      <c r="J4940" s="351"/>
      <c r="K4940" s="351"/>
      <c r="L4940" s="350"/>
      <c r="M4940" s="350"/>
      <c r="N4940" s="350"/>
      <c r="S4940" s="364"/>
      <c r="Z4940" s="609" t="s">
        <v>4148</v>
      </c>
      <c r="AA4940" s="609" t="s">
        <v>5716</v>
      </c>
    </row>
    <row r="4941" spans="1:27" ht="18.75" thickBot="1">
      <c r="A4941" s="2714"/>
      <c r="B4941" s="371"/>
      <c r="C4941" s="371" t="s">
        <v>2565</v>
      </c>
      <c r="D4941" s="371"/>
      <c r="F4941" s="294"/>
      <c r="G4941" s="457" t="s">
        <v>2757</v>
      </c>
      <c r="H4941" s="458">
        <f ca="1">IF(AND(H4939="",H4940=""),"",ROUND(H4939-H4940,2))</f>
        <v>0</v>
      </c>
      <c r="I4941" s="458">
        <f ca="1">IF(AND(I4939="",I4940=""),"",ROUND(I4939-I4940,2))</f>
        <v>0</v>
      </c>
      <c r="J4941" s="356"/>
      <c r="K4941" s="356"/>
      <c r="L4941" s="350"/>
      <c r="M4941" s="350"/>
      <c r="N4941" s="350"/>
      <c r="S4941" s="364"/>
      <c r="Z4941" s="609" t="s">
        <v>4148</v>
      </c>
      <c r="AA4941" s="609" t="s">
        <v>5716</v>
      </c>
    </row>
    <row r="4942" spans="1:27" ht="18.75" thickTop="1">
      <c r="A4942" s="2714"/>
      <c r="B4942" s="371"/>
      <c r="C4942" s="371" t="s">
        <v>2565</v>
      </c>
      <c r="D4942" s="371"/>
      <c r="F4942" s="294"/>
      <c r="G4942" s="354"/>
      <c r="H4942" s="459" t="str">
        <f ca="1">IF(OR(H4941=0,H4941=""),"√","？")</f>
        <v>√</v>
      </c>
      <c r="I4942" s="459" t="str">
        <f ca="1">IF(OR(I4941=0,I4941=""),"√","？")</f>
        <v>√</v>
      </c>
      <c r="J4942" s="317"/>
      <c r="K4942" s="317"/>
      <c r="L4942" s="350"/>
      <c r="M4942" s="350"/>
      <c r="N4942" s="350"/>
      <c r="S4942" s="364"/>
      <c r="Z4942" s="609" t="s">
        <v>4148</v>
      </c>
      <c r="AA4942" s="609" t="s">
        <v>5716</v>
      </c>
    </row>
    <row r="4943" spans="1:27" ht="18">
      <c r="A4943" s="2714"/>
      <c r="B4943" s="371"/>
      <c r="C4943" s="371" t="s">
        <v>2565</v>
      </c>
      <c r="D4943" s="371"/>
      <c r="F4943" s="294"/>
      <c r="G4943" s="460" t="s">
        <v>2759</v>
      </c>
      <c r="H4943" s="461"/>
      <c r="I4943" s="461"/>
      <c r="J4943" s="317"/>
      <c r="K4943" s="352">
        <f ca="1">SUMIF($H$4942:$K$4942,"&lt;&gt;√",$H$4941:$K$4941)</f>
        <v>0</v>
      </c>
      <c r="L4943" s="353" t="str">
        <f ca="1">IF(OR(K4943=0,K4943=""),"√","？")</f>
        <v>√</v>
      </c>
      <c r="M4943" s="350"/>
      <c r="N4943" s="350"/>
      <c r="S4943" s="364"/>
      <c r="Z4943" s="609" t="s">
        <v>4148</v>
      </c>
      <c r="AA4943" s="609" t="s">
        <v>5716</v>
      </c>
    </row>
    <row r="4944" spans="1:27" ht="18">
      <c r="A4944" s="2714"/>
      <c r="B4944" s="371"/>
      <c r="C4944" s="371" t="s">
        <v>2565</v>
      </c>
      <c r="D4944" s="371"/>
      <c r="F4944" s="294"/>
      <c r="G4944" s="354"/>
      <c r="H4944" s="461"/>
      <c r="I4944" s="461"/>
      <c r="J4944" s="317"/>
      <c r="K4944" s="317"/>
      <c r="L4944" s="350"/>
      <c r="M4944" s="350"/>
      <c r="N4944" s="350"/>
      <c r="S4944" s="364"/>
      <c r="Z4944" s="609" t="s">
        <v>4148</v>
      </c>
      <c r="AA4944" s="609" t="s">
        <v>5716</v>
      </c>
    </row>
    <row r="4945" spans="1:27" ht="18">
      <c r="A4945" s="2714">
        <v>6711</v>
      </c>
      <c r="B4945" s="371">
        <v>75</v>
      </c>
      <c r="C4945" s="2716" t="str">
        <f>VLOOKUP($A4945,Sheet_Items,2,0)</f>
        <v>营业外支出</v>
      </c>
      <c r="D4945" s="371"/>
      <c r="E4945" s="2716" t="s">
        <v>2739</v>
      </c>
      <c r="F4945" s="294"/>
      <c r="G4945" s="305" t="str">
        <f>B4945&amp;" "&amp;C4945</f>
        <v>75 营业外支出</v>
      </c>
      <c r="H4945" s="306"/>
      <c r="I4945" s="306"/>
      <c r="J4945" s="306" t="s">
        <v>4206</v>
      </c>
      <c r="K4945" s="341">
        <f>VLOOKUP($A4945,Sheet_Trialbal,6,0)</f>
        <v>0</v>
      </c>
      <c r="L4945" s="342"/>
      <c r="M4945" s="306" t="s">
        <v>4207</v>
      </c>
      <c r="N4945" s="341">
        <f>VLOOKUP($A4945,Sheet_Trialbal,10,0)</f>
        <v>0</v>
      </c>
      <c r="O4945" s="306"/>
      <c r="P4945" s="301"/>
      <c r="S4945" s="364"/>
      <c r="Z4945" s="609" t="s">
        <v>4353</v>
      </c>
      <c r="AA4945" s="609" t="s">
        <v>5717</v>
      </c>
    </row>
    <row r="4946" spans="1:27" ht="18">
      <c r="A4946" s="2714" t="s">
        <v>1937</v>
      </c>
      <c r="B4946" s="371">
        <v>1</v>
      </c>
      <c r="C4946" s="371"/>
      <c r="D4946" s="2716" t="str">
        <f>VLOOKUP($A4946,Sheet_NoteList,2,0)</f>
        <v>营业外支出明细项目</v>
      </c>
      <c r="E4946" s="2716" t="s">
        <v>2742</v>
      </c>
      <c r="F4946" s="294"/>
      <c r="G4946" s="307" t="str">
        <f>"("&amp;B4946&amp;")"&amp;D4946</f>
        <v>(1)营业外支出明细项目</v>
      </c>
      <c r="H4946" s="1517" t="str">
        <f>$A4946</f>
        <v>6711a</v>
      </c>
      <c r="I4946" s="343" t="s">
        <v>2743</v>
      </c>
      <c r="J4946" s="301" t="s">
        <v>4210</v>
      </c>
      <c r="K4946" s="2210">
        <f>H4956</f>
        <v>0</v>
      </c>
      <c r="L4946" s="345" t="str">
        <f>IF($I4946="适用",IF(ROUND(K4945-K4946,2)=0,"F/S",ROUND(K4945-K4946,2)),"#N/A")</f>
        <v>F/S</v>
      </c>
      <c r="M4946" s="301" t="s">
        <v>4211</v>
      </c>
      <c r="N4946" s="2210">
        <f>I4956</f>
        <v>0</v>
      </c>
      <c r="O4946" s="345" t="str">
        <f>IF($I4946="适用",IF(ROUND(N4945-N4946,2)=0,"F/S",ROUND(N4945-N4946,2)),"#N/A")</f>
        <v>F/S</v>
      </c>
      <c r="P4946" s="301"/>
      <c r="Q4946" s="290" t="str">
        <f>IF($I4946="不适用","",IF(ROUND(SUM($H$4949:$J$4956),2)=0,"请输入",""))</f>
        <v>请输入</v>
      </c>
      <c r="S4946" s="364"/>
      <c r="Z4946" s="609" t="s">
        <v>4353</v>
      </c>
      <c r="AA4946" s="609" t="s">
        <v>5717</v>
      </c>
    </row>
    <row r="4947" spans="1:27" ht="0.75" customHeight="1" thickBot="1">
      <c r="A4947" s="2714"/>
      <c r="B4947" s="371"/>
      <c r="C4947" s="371"/>
      <c r="D4947" s="371"/>
      <c r="E4947" s="586"/>
      <c r="F4947" s="363"/>
      <c r="G4947" s="363" t="s">
        <v>4354</v>
      </c>
      <c r="H4947" s="294" t="s">
        <v>4223</v>
      </c>
      <c r="I4947" s="294" t="s">
        <v>4224</v>
      </c>
      <c r="J4947" s="294" t="s">
        <v>4347</v>
      </c>
      <c r="K4947" s="291"/>
      <c r="L4947" s="291"/>
      <c r="M4947" s="291"/>
      <c r="N4947" s="291"/>
      <c r="S4947" s="364"/>
      <c r="Z4947" s="609" t="s">
        <v>4353</v>
      </c>
      <c r="AA4947" s="609" t="s">
        <v>5717</v>
      </c>
    </row>
    <row r="4948" spans="1:27" ht="24">
      <c r="A4948" s="2714"/>
      <c r="B4948" s="371"/>
      <c r="C4948" s="371"/>
      <c r="D4948" s="371"/>
      <c r="E4948" s="586" t="s">
        <v>2749</v>
      </c>
      <c r="F4948" s="363"/>
      <c r="G4948" s="2457" t="s">
        <v>47</v>
      </c>
      <c r="H4948" s="2464" t="str">
        <f>$V$4</f>
        <v>2019年度</v>
      </c>
      <c r="I4948" s="2464" t="str">
        <f>$V$5</f>
        <v>2018年度</v>
      </c>
      <c r="J4948" s="2469" t="s">
        <v>4348</v>
      </c>
      <c r="K4948" s="355" t="s">
        <v>5340</v>
      </c>
      <c r="L4948" s="291"/>
      <c r="M4948" s="291"/>
      <c r="N4948" s="291"/>
      <c r="S4948" s="364"/>
      <c r="Z4948" s="609" t="s">
        <v>4353</v>
      </c>
      <c r="AA4948" s="609" t="s">
        <v>5717</v>
      </c>
    </row>
    <row r="4949" spans="1:27" ht="18">
      <c r="A4949" s="2714"/>
      <c r="B4949" s="371">
        <v>101</v>
      </c>
      <c r="C4949" s="371"/>
      <c r="D4949" s="2716">
        <f t="shared" ref="D4949:D4956" si="537">IF(OR(G4949="*",G4949="",G4949=0),0,COUNTIF($G$4949:$G$4956,G4949))</f>
        <v>1</v>
      </c>
      <c r="E4949" s="2721">
        <v>1</v>
      </c>
      <c r="F4949" s="294"/>
      <c r="G4949" s="1474" t="s">
        <v>4355</v>
      </c>
      <c r="H4949" s="2275"/>
      <c r="I4949" s="2275"/>
      <c r="J4949" s="2296"/>
      <c r="K4949" s="291"/>
      <c r="L4949" s="291"/>
      <c r="M4949" s="291"/>
      <c r="N4949" s="291"/>
      <c r="S4949" s="364"/>
      <c r="Z4949" s="609" t="s">
        <v>4353</v>
      </c>
      <c r="AA4949" s="609" t="s">
        <v>5717</v>
      </c>
    </row>
    <row r="4950" spans="1:27" ht="18">
      <c r="A4950" s="2714"/>
      <c r="B4950" s="371">
        <v>102</v>
      </c>
      <c r="C4950" s="371"/>
      <c r="D4950" s="2716">
        <f t="shared" si="537"/>
        <v>1</v>
      </c>
      <c r="E4950" s="2721">
        <v>1</v>
      </c>
      <c r="F4950" s="294"/>
      <c r="G4950" s="1474" t="s">
        <v>4356</v>
      </c>
      <c r="H4950" s="2275"/>
      <c r="I4950" s="2275"/>
      <c r="J4950" s="2296"/>
      <c r="K4950" s="291"/>
      <c r="L4950" s="291"/>
      <c r="M4950" s="291"/>
      <c r="N4950" s="291"/>
      <c r="S4950" s="364"/>
      <c r="Z4950" s="609" t="s">
        <v>4353</v>
      </c>
      <c r="AA4950" s="609" t="s">
        <v>5717</v>
      </c>
    </row>
    <row r="4951" spans="1:27" ht="18">
      <c r="A4951" s="2714"/>
      <c r="B4951" s="371">
        <v>106</v>
      </c>
      <c r="C4951" s="371"/>
      <c r="D4951" s="2716">
        <f t="shared" si="537"/>
        <v>1</v>
      </c>
      <c r="E4951" s="2721">
        <v>1</v>
      </c>
      <c r="F4951" s="294"/>
      <c r="G4951" s="1474" t="s">
        <v>4357</v>
      </c>
      <c r="H4951" s="2275"/>
      <c r="I4951" s="2275"/>
      <c r="J4951" s="2296"/>
      <c r="K4951" s="291"/>
      <c r="L4951" s="291"/>
      <c r="M4951" s="291"/>
      <c r="N4951" s="291"/>
      <c r="S4951" s="364"/>
      <c r="Z4951" s="609" t="s">
        <v>4353</v>
      </c>
      <c r="AA4951" s="609" t="s">
        <v>5717</v>
      </c>
    </row>
    <row r="4952" spans="1:27" ht="18">
      <c r="A4952" s="2714"/>
      <c r="B4952" s="371">
        <v>107</v>
      </c>
      <c r="C4952" s="371"/>
      <c r="D4952" s="2716">
        <f t="shared" si="537"/>
        <v>1</v>
      </c>
      <c r="E4952" s="2721">
        <v>1</v>
      </c>
      <c r="F4952" s="294"/>
      <c r="G4952" s="1474" t="s">
        <v>4358</v>
      </c>
      <c r="H4952" s="2275"/>
      <c r="I4952" s="2275"/>
      <c r="J4952" s="2296"/>
      <c r="K4952" s="291"/>
      <c r="L4952" s="291"/>
      <c r="M4952" s="291"/>
      <c r="N4952" s="291"/>
      <c r="S4952" s="364"/>
      <c r="Z4952" s="609" t="s">
        <v>4353</v>
      </c>
      <c r="AA4952" s="609" t="s">
        <v>5717</v>
      </c>
    </row>
    <row r="4953" spans="1:27" ht="18">
      <c r="A4953" s="2714"/>
      <c r="B4953" s="371">
        <v>108</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5717</v>
      </c>
    </row>
    <row r="4954" spans="1:27" ht="18">
      <c r="A4954" s="2714"/>
      <c r="B4954" s="371">
        <v>109</v>
      </c>
      <c r="C4954" s="371" t="s">
        <v>2791</v>
      </c>
      <c r="D4954" s="2716">
        <f t="shared" si="537"/>
        <v>0</v>
      </c>
      <c r="E4954" s="2721">
        <v>1</v>
      </c>
      <c r="F4954" s="294"/>
      <c r="G4954" s="2467" t="s">
        <v>2792</v>
      </c>
      <c r="H4954" s="2275"/>
      <c r="I4954" s="2275"/>
      <c r="J4954" s="2296"/>
      <c r="K4954" s="291"/>
      <c r="L4954" s="291"/>
      <c r="M4954" s="291"/>
      <c r="N4954" s="291"/>
      <c r="S4954" s="364"/>
      <c r="Z4954" s="609" t="s">
        <v>4353</v>
      </c>
      <c r="AA4954" s="609" t="s">
        <v>5717</v>
      </c>
    </row>
    <row r="4955" spans="1:27" ht="18">
      <c r="A4955" s="2714"/>
      <c r="B4955" s="371">
        <v>110</v>
      </c>
      <c r="C4955" s="371" t="s">
        <v>2791</v>
      </c>
      <c r="D4955" s="2716">
        <f t="shared" si="537"/>
        <v>0</v>
      </c>
      <c r="E4955" s="2721">
        <v>1</v>
      </c>
      <c r="F4955" s="294"/>
      <c r="G4955" s="2467" t="s">
        <v>2792</v>
      </c>
      <c r="H4955" s="2275"/>
      <c r="I4955" s="2275"/>
      <c r="J4955" s="2296"/>
      <c r="K4955" s="291"/>
      <c r="L4955" s="291"/>
      <c r="M4955" s="291"/>
      <c r="N4955" s="291"/>
      <c r="S4955" s="364"/>
      <c r="Z4955" s="609" t="s">
        <v>4353</v>
      </c>
      <c r="AA4955" s="609" t="s">
        <v>5717</v>
      </c>
    </row>
    <row r="4956" spans="1:27" ht="18.75" thickBot="1">
      <c r="A4956" s="2714"/>
      <c r="B4956" s="371"/>
      <c r="C4956" s="371"/>
      <c r="D4956" s="2716">
        <f t="shared" si="537"/>
        <v>1</v>
      </c>
      <c r="E4956" s="2721" t="s">
        <v>2751</v>
      </c>
      <c r="F4956" s="294"/>
      <c r="G4956" s="374" t="s">
        <v>2752</v>
      </c>
      <c r="H4956" s="1478">
        <f>SUMPRODUCT($E4948:$E4955,H4948:H4955)</f>
        <v>0</v>
      </c>
      <c r="I4956" s="1478">
        <f>SUMPRODUCT($E4948:$E4955,I4948:I4955)</f>
        <v>0</v>
      </c>
      <c r="J4956" s="1479">
        <f>SUMPRODUCT($E4948:$E4955,J4948:J4955)</f>
        <v>0</v>
      </c>
      <c r="K4956" s="291"/>
      <c r="L4956" s="291"/>
      <c r="M4956" s="291"/>
      <c r="N4956" s="291"/>
      <c r="S4956" s="364"/>
      <c r="Z4956" s="609" t="s">
        <v>4353</v>
      </c>
      <c r="AA4956" s="609" t="s">
        <v>5717</v>
      </c>
    </row>
    <row r="4957" spans="1:27" ht="18">
      <c r="A4957" s="2714"/>
      <c r="B4957" s="371"/>
      <c r="C4957" s="371" t="s">
        <v>2755</v>
      </c>
      <c r="D4957" s="371"/>
      <c r="F4957" s="294"/>
      <c r="G4957" s="301"/>
      <c r="H4957" s="315"/>
      <c r="I4957" s="315"/>
      <c r="J4957" s="315"/>
      <c r="K4957" s="291"/>
      <c r="L4957" s="291"/>
      <c r="M4957" s="291"/>
      <c r="N4957" s="291"/>
      <c r="S4957" s="364"/>
      <c r="Z4957" s="609" t="s">
        <v>4353</v>
      </c>
      <c r="AA4957" s="609" t="s">
        <v>5717</v>
      </c>
    </row>
    <row r="4958" spans="1:27" ht="18">
      <c r="A4958" s="2714">
        <v>6791</v>
      </c>
      <c r="B4958" s="371">
        <v>76</v>
      </c>
      <c r="C4958" s="2716" t="str">
        <f>VLOOKUP($A4958,Sheet_Items,2,0)</f>
        <v>所得税费用</v>
      </c>
      <c r="D4958" s="371"/>
      <c r="E4958" s="2716" t="s">
        <v>2739</v>
      </c>
      <c r="F4958" s="294"/>
      <c r="G4958" s="305" t="str">
        <f>B4958&amp;" "&amp;C4958</f>
        <v>76 所得税费用</v>
      </c>
      <c r="H4958" s="306"/>
      <c r="I4958" s="306"/>
      <c r="J4958" s="306" t="s">
        <v>4206</v>
      </c>
      <c r="K4958" s="341">
        <f>VLOOKUP($A4958,Sheet_Trialbal,6,0)</f>
        <v>-1089328.4099999999</v>
      </c>
      <c r="L4958" s="342"/>
      <c r="M4958" s="306" t="s">
        <v>4207</v>
      </c>
      <c r="N4958" s="341">
        <f>VLOOKUP($A4958,Sheet_Trialbal,10,0)</f>
        <v>38389.24</v>
      </c>
      <c r="O4958" s="306"/>
      <c r="P4958" s="301"/>
      <c r="S4958" s="364"/>
      <c r="Z4958" s="609" t="s">
        <v>4359</v>
      </c>
      <c r="AA4958" s="609" t="s">
        <v>5718</v>
      </c>
    </row>
    <row r="4959" spans="1:27" ht="18">
      <c r="A4959" s="2714" t="s">
        <v>1939</v>
      </c>
      <c r="B4959" s="371">
        <v>1</v>
      </c>
      <c r="C4959" s="371"/>
      <c r="D4959" s="2716" t="str">
        <f>VLOOKUP($A4959,Sheet_NoteList,2,0)</f>
        <v>所得税费用的组成</v>
      </c>
      <c r="E4959" s="2716" t="s">
        <v>2742</v>
      </c>
      <c r="F4959" s="294"/>
      <c r="G4959" s="307" t="str">
        <f>"("&amp;B4959&amp;")"&amp;D4959</f>
        <v>(1)所得税费用的组成</v>
      </c>
      <c r="H4959" s="1517" t="str">
        <f>$A4959</f>
        <v>6791a</v>
      </c>
      <c r="I4959" s="343" t="s">
        <v>2743</v>
      </c>
      <c r="J4959" s="301" t="s">
        <v>4210</v>
      </c>
      <c r="K4959" s="2210">
        <f>H4965</f>
        <v>-1089328.4099999999</v>
      </c>
      <c r="L4959" s="345" t="str">
        <f>IF($I4959="适用",IF(ROUND(K$4958-K4959,2)=0,"F/S",ROUND(K$4958-K4959,2)),"#N/A")</f>
        <v>F/S</v>
      </c>
      <c r="M4959" s="301" t="s">
        <v>4211</v>
      </c>
      <c r="N4959" s="2210">
        <f>I4965</f>
        <v>0</v>
      </c>
      <c r="O4959" s="345">
        <f>IF($I4959="适用",IF(ROUND(N$4958-N4959,2)=0,"F/S",ROUND(N$4958-N4959,2)),"#N/A")</f>
        <v>38389.24</v>
      </c>
      <c r="P4959" s="301"/>
      <c r="Q4959" s="290" t="str">
        <f>IF($I4959="不适用","",IF(ROUND(SUM($H$4962:$I$4965),2)=0,"请输入",""))</f>
        <v/>
      </c>
      <c r="S4959" s="364"/>
      <c r="Z4959" s="609" t="s">
        <v>4359</v>
      </c>
      <c r="AA4959" s="609" t="s">
        <v>5718</v>
      </c>
    </row>
    <row r="4960" spans="1:27" ht="0.75" customHeight="1" thickBot="1">
      <c r="A4960" s="2714"/>
      <c r="B4960" s="371"/>
      <c r="C4960" s="371"/>
      <c r="D4960" s="371"/>
      <c r="F4960" s="371"/>
      <c r="G4960" s="371" t="s">
        <v>4360</v>
      </c>
      <c r="H4960" s="371" t="s">
        <v>4223</v>
      </c>
      <c r="I4960" s="371" t="s">
        <v>4224</v>
      </c>
      <c r="J4960" s="291"/>
      <c r="K4960" s="291"/>
      <c r="L4960" s="291"/>
      <c r="M4960" s="291"/>
      <c r="S4960" s="364"/>
      <c r="Z4960" s="609" t="s">
        <v>4359</v>
      </c>
      <c r="AA4960" s="609" t="s">
        <v>5718</v>
      </c>
    </row>
    <row r="4961" spans="1:27" ht="18.75" thickTop="1">
      <c r="A4961" s="2714"/>
      <c r="B4961" s="371"/>
      <c r="C4961" s="371"/>
      <c r="D4961" s="371"/>
      <c r="E4961" s="2716" t="s">
        <v>2749</v>
      </c>
      <c r="F4961" s="294"/>
      <c r="G4961" s="378" t="s">
        <v>47</v>
      </c>
      <c r="H4961" s="398" t="str">
        <f>$V$4</f>
        <v>2019年度</v>
      </c>
      <c r="I4961" s="511" t="str">
        <f>$V$5</f>
        <v>2018年度</v>
      </c>
      <c r="J4961" s="355" t="s">
        <v>5341</v>
      </c>
      <c r="K4961" s="1584" t="str">
        <f>""&amp;"&gt;本期:"&amp;""</f>
        <v>&gt;本期:</v>
      </c>
      <c r="L4961" s="1584"/>
      <c r="M4961" s="2658" t="str">
        <f>""&amp;"NoteID"&amp;""</f>
        <v>NoteID</v>
      </c>
      <c r="S4961" s="364"/>
      <c r="Z4961" s="609" t="s">
        <v>4359</v>
      </c>
      <c r="AA4961" s="609" t="s">
        <v>5718</v>
      </c>
    </row>
    <row r="4962" spans="1:27" ht="18">
      <c r="A4962" s="2714"/>
      <c r="B4962" s="371">
        <v>101</v>
      </c>
      <c r="C4962" s="371"/>
      <c r="D4962" s="2716">
        <f>IF(OR(G4962="*",G4962="",G4962=0),0,COUNTIF($G$4962:$G$4965,G4962))</f>
        <v>1</v>
      </c>
      <c r="E4962" s="2721">
        <v>1</v>
      </c>
      <c r="F4962" s="294"/>
      <c r="G4962" s="380" t="s">
        <v>4361</v>
      </c>
      <c r="H4962" s="383">
        <v>0</v>
      </c>
      <c r="I4962" s="401"/>
      <c r="J4962" s="291"/>
      <c r="K4962" s="2252">
        <f ca="1">HYPERLINK("#'"&amp;$G$1&amp;"'!"&amp;ADDRESS(ROW(Notes!J3732),COLUMN(Notes!J3732),4),J3732)</f>
        <v>0</v>
      </c>
      <c r="L4962" s="456"/>
      <c r="M4962" s="2665" t="str">
        <f>H3727</f>
        <v>2221a</v>
      </c>
      <c r="S4962" s="364"/>
      <c r="Z4962" s="609" t="s">
        <v>4359</v>
      </c>
      <c r="AA4962" s="609" t="s">
        <v>5718</v>
      </c>
    </row>
    <row r="4963" spans="1:27" ht="18">
      <c r="A4963" s="2714"/>
      <c r="B4963" s="371">
        <v>102</v>
      </c>
      <c r="C4963" s="371"/>
      <c r="D4963" s="2716">
        <f>IF(OR(G4963="*",G4963="",G4963=0),0,COUNTIF($G$4962:$G$4965,G4963))</f>
        <v>1</v>
      </c>
      <c r="E4963" s="2721">
        <v>1</v>
      </c>
      <c r="F4963" s="294"/>
      <c r="G4963" s="380" t="s">
        <v>4362</v>
      </c>
      <c r="H4963" s="383">
        <v>-1089328.4099999999</v>
      </c>
      <c r="I4963" s="401"/>
      <c r="J4963" s="291"/>
      <c r="K4963" s="456"/>
      <c r="L4963" s="456"/>
      <c r="M4963" s="2666"/>
      <c r="S4963" s="364"/>
      <c r="Z4963" s="609" t="s">
        <v>4359</v>
      </c>
      <c r="AA4963" s="609" t="s">
        <v>5718</v>
      </c>
    </row>
    <row r="4964" spans="1:27" ht="18">
      <c r="A4964" s="2714"/>
      <c r="B4964" s="371">
        <v>103</v>
      </c>
      <c r="C4964" s="371" t="s">
        <v>2791</v>
      </c>
      <c r="D4964" s="2716">
        <f>IF(OR(G4964="*",G4964="",G4964=0),0,COUNTIF($G$4962:$G$4965,G4964))</f>
        <v>0</v>
      </c>
      <c r="E4964" s="2721">
        <v>1</v>
      </c>
      <c r="F4964" s="294"/>
      <c r="G4964" s="409" t="s">
        <v>2792</v>
      </c>
      <c r="H4964" s="383"/>
      <c r="I4964" s="401"/>
      <c r="J4964" s="291"/>
      <c r="K4964" s="456"/>
      <c r="L4964" s="456"/>
      <c r="M4964" s="2666"/>
      <c r="S4964" s="364"/>
      <c r="Z4964" s="609" t="s">
        <v>4359</v>
      </c>
      <c r="AA4964" s="609" t="s">
        <v>5718</v>
      </c>
    </row>
    <row r="4965" spans="1:27" ht="18.75" thickBot="1">
      <c r="A4965" s="2714"/>
      <c r="B4965" s="371"/>
      <c r="C4965" s="371"/>
      <c r="D4965" s="2716">
        <f>IF(OR(G4965="*",G4965="",G4965=0),0,COUNTIF($G$4962:$G$4965,G4965))</f>
        <v>1</v>
      </c>
      <c r="E4965" s="2721" t="s">
        <v>2751</v>
      </c>
      <c r="F4965" s="294"/>
      <c r="G4965" s="403" t="s">
        <v>2752</v>
      </c>
      <c r="H4965" s="503">
        <f>SUMPRODUCT($E4961:$E4964,H4961:H4964)</f>
        <v>-1089328.4099999999</v>
      </c>
      <c r="I4965" s="515">
        <f>SUMPRODUCT($E4961:$E4964,I4961:I4964)</f>
        <v>0</v>
      </c>
      <c r="J4965" s="291"/>
      <c r="K4965" s="1531">
        <f t="shared" ref="K4965:L4965" ca="1" si="538">SUM(K4962:K4964)</f>
        <v>0</v>
      </c>
      <c r="L4965" s="1531">
        <f t="shared" si="538"/>
        <v>0</v>
      </c>
      <c r="M4965" s="2667"/>
      <c r="S4965" s="364"/>
      <c r="Z4965" s="609" t="s">
        <v>4359</v>
      </c>
      <c r="AA4965" s="609" t="s">
        <v>5718</v>
      </c>
    </row>
    <row r="4966" spans="1:27" ht="18">
      <c r="A4966" s="2714"/>
      <c r="B4966" s="371"/>
      <c r="C4966" s="371" t="s">
        <v>2755</v>
      </c>
      <c r="D4966" s="371"/>
      <c r="F4966" s="294"/>
      <c r="G4966" s="301"/>
      <c r="H4966" s="349"/>
      <c r="I4966" s="349"/>
      <c r="J4966" s="291"/>
      <c r="K4966" s="1539" t="s">
        <v>5505</v>
      </c>
      <c r="L4966" s="354"/>
      <c r="M4966" s="354"/>
      <c r="S4966" s="364"/>
      <c r="Z4966" s="609" t="s">
        <v>4359</v>
      </c>
      <c r="AA4966" s="609" t="s">
        <v>5718</v>
      </c>
    </row>
    <row r="4967" spans="1:27" ht="24">
      <c r="A4967" s="2714" t="s">
        <v>1941</v>
      </c>
      <c r="B4967" s="371">
        <v>2</v>
      </c>
      <c r="C4967" s="371"/>
      <c r="D4967" s="2716" t="str">
        <f>VLOOKUP($A4967,Sheet_NoteList,2,0)</f>
        <v>会计利润与所得税费用调整过程</v>
      </c>
      <c r="E4967" s="2716" t="s">
        <v>2742</v>
      </c>
      <c r="F4967" s="294"/>
      <c r="G4967" s="372" t="str">
        <f>"("&amp;B4967&amp;")"&amp;D4967</f>
        <v>(2)会计利润与所得税费用调整过程</v>
      </c>
      <c r="H4967" s="1517" t="str">
        <f>$A4967</f>
        <v>6791b</v>
      </c>
      <c r="I4967" s="343" t="s">
        <v>2743</v>
      </c>
      <c r="J4967" s="301" t="s">
        <v>4210</v>
      </c>
      <c r="K4967" s="2210">
        <f>H4983</f>
        <v>-1089328.4099999999</v>
      </c>
      <c r="L4967" s="345" t="str">
        <f>IF($I4967="适用",IF(ROUND(K$4958-K4967,2)=0,"F/S",ROUND(K$4958-K4967,2)),"#N/A")</f>
        <v>F/S</v>
      </c>
      <c r="M4967" s="301" t="s">
        <v>4211</v>
      </c>
      <c r="N4967" s="2210">
        <f>I4983</f>
        <v>0</v>
      </c>
      <c r="O4967" s="345">
        <f>IF($I4967="适用",IF(ROUND(N$4958-N4967,2)=0,"F/S",ROUND(N$4958-N4967,2)),"#N/A")</f>
        <v>38389.24</v>
      </c>
      <c r="P4967" s="301"/>
      <c r="Q4967" s="290" t="str">
        <f>IF($I4967="不适用","",IF(ROUND(SUM($H$4970:$I$4983),2)=0,"请输入",""))</f>
        <v/>
      </c>
      <c r="S4967" s="364"/>
      <c r="Z4967" s="609" t="s">
        <v>4359</v>
      </c>
      <c r="AA4967" s="609" t="s">
        <v>5718</v>
      </c>
    </row>
    <row r="4968" spans="1:27" ht="0.75" customHeight="1" thickBot="1">
      <c r="A4968" s="2714"/>
      <c r="B4968" s="371"/>
      <c r="C4968" s="371"/>
      <c r="D4968" s="371"/>
      <c r="E4968" s="586"/>
      <c r="F4968" s="363"/>
      <c r="G4968" s="363" t="s">
        <v>4363</v>
      </c>
      <c r="H4968" s="294" t="s">
        <v>4223</v>
      </c>
      <c r="I4968" s="294" t="s">
        <v>4224</v>
      </c>
      <c r="J4968" s="291"/>
      <c r="K4968" s="291"/>
      <c r="L4968" s="291"/>
      <c r="M4968" s="291"/>
      <c r="S4968" s="364"/>
      <c r="Z4968" s="609" t="s">
        <v>4359</v>
      </c>
      <c r="AA4968" s="609" t="s">
        <v>5718</v>
      </c>
    </row>
    <row r="4969" spans="1:27" ht="18">
      <c r="A4969" s="2714"/>
      <c r="B4969" s="371"/>
      <c r="C4969" s="371"/>
      <c r="D4969" s="371"/>
      <c r="E4969" s="586" t="s">
        <v>2749</v>
      </c>
      <c r="F4969" s="363"/>
      <c r="G4969" s="2556" t="s">
        <v>47</v>
      </c>
      <c r="H4969" s="2555" t="str">
        <f>$V$4</f>
        <v>2019年度</v>
      </c>
      <c r="I4969" s="2611" t="str">
        <f>$V$5</f>
        <v>2018年度</v>
      </c>
      <c r="J4969" s="355" t="s">
        <v>5341</v>
      </c>
      <c r="K4969" s="291"/>
      <c r="L4969" s="291"/>
      <c r="M4969" s="291"/>
      <c r="S4969" s="364"/>
      <c r="Z4969" s="609" t="s">
        <v>4359</v>
      </c>
      <c r="AA4969" s="609" t="s">
        <v>5718</v>
      </c>
    </row>
    <row r="4970" spans="1:27" ht="18">
      <c r="A4970" s="2714"/>
      <c r="B4970" s="371">
        <v>101</v>
      </c>
      <c r="C4970" s="371"/>
      <c r="D4970" s="2716">
        <f t="shared" ref="D4970:D4983" si="539">IF(OR(G4970="*",G4970="",G4970=0),0,COUNTIF($G$4970:$G$4983,G4970))</f>
        <v>1</v>
      </c>
      <c r="E4970" s="2721">
        <v>0</v>
      </c>
      <c r="F4970" s="294"/>
      <c r="G4970" s="1474" t="s">
        <v>861</v>
      </c>
      <c r="H4970" s="2275">
        <f>IS!E28</f>
        <v>658051.31000000006</v>
      </c>
      <c r="I4970" s="2296"/>
      <c r="J4970" s="291"/>
      <c r="K4970" s="291"/>
      <c r="L4970" s="291"/>
      <c r="M4970" s="291"/>
      <c r="S4970" s="364"/>
      <c r="Z4970" s="609" t="s">
        <v>4359</v>
      </c>
      <c r="AA4970" s="609" t="s">
        <v>5718</v>
      </c>
    </row>
    <row r="4971" spans="1:27" ht="24">
      <c r="A4971" s="2714"/>
      <c r="B4971" s="371">
        <v>102</v>
      </c>
      <c r="C4971" s="371"/>
      <c r="D4971" s="2716">
        <f t="shared" si="539"/>
        <v>1</v>
      </c>
      <c r="E4971" s="2721">
        <v>1</v>
      </c>
      <c r="F4971" s="294"/>
      <c r="G4971" s="1474" t="s">
        <v>6147</v>
      </c>
      <c r="H4971" s="2275">
        <f>H4970*25%</f>
        <v>164512.82999999999</v>
      </c>
      <c r="I4971" s="2296"/>
      <c r="J4971" s="291"/>
      <c r="K4971" s="291"/>
      <c r="L4971" s="291"/>
      <c r="M4971" s="291"/>
      <c r="S4971" s="364"/>
      <c r="Z4971" s="609" t="s">
        <v>4359</v>
      </c>
      <c r="AA4971" s="609" t="s">
        <v>5718</v>
      </c>
    </row>
    <row r="4972" spans="1:27" ht="18">
      <c r="A4972" s="2714"/>
      <c r="B4972" s="371">
        <v>103</v>
      </c>
      <c r="C4972" s="371"/>
      <c r="D4972" s="2716">
        <f t="shared" si="539"/>
        <v>1</v>
      </c>
      <c r="E4972" s="2721">
        <v>1</v>
      </c>
      <c r="F4972" s="294"/>
      <c r="G4972" s="1474" t="s">
        <v>4364</v>
      </c>
      <c r="H4972" s="2275"/>
      <c r="I4972" s="2296"/>
      <c r="J4972" s="291"/>
      <c r="K4972" s="291"/>
      <c r="L4972" s="291"/>
      <c r="M4972" s="291"/>
      <c r="S4972" s="364"/>
      <c r="Z4972" s="609" t="s">
        <v>4359</v>
      </c>
      <c r="AA4972" s="609" t="s">
        <v>5718</v>
      </c>
    </row>
    <row r="4973" spans="1:27" ht="18">
      <c r="A4973" s="2714"/>
      <c r="B4973" s="371">
        <v>104</v>
      </c>
      <c r="C4973" s="371"/>
      <c r="D4973" s="2716">
        <f t="shared" si="539"/>
        <v>1</v>
      </c>
      <c r="E4973" s="2721">
        <v>1</v>
      </c>
      <c r="F4973" s="294"/>
      <c r="G4973" s="1474" t="s">
        <v>4365</v>
      </c>
      <c r="H4973" s="2275"/>
      <c r="I4973" s="2296"/>
      <c r="J4973" s="291"/>
      <c r="K4973" s="291"/>
      <c r="L4973" s="291"/>
      <c r="M4973" s="291"/>
      <c r="S4973" s="364"/>
      <c r="Z4973" s="609" t="s">
        <v>4359</v>
      </c>
      <c r="AA4973" s="609" t="s">
        <v>5718</v>
      </c>
    </row>
    <row r="4974" spans="1:27" ht="18">
      <c r="A4974" s="2714"/>
      <c r="B4974" s="371">
        <v>105</v>
      </c>
      <c r="C4974" s="371"/>
      <c r="D4974" s="2716">
        <f t="shared" si="539"/>
        <v>1</v>
      </c>
      <c r="E4974" s="2721">
        <v>1</v>
      </c>
      <c r="F4974" s="294"/>
      <c r="G4974" s="1474" t="s">
        <v>4366</v>
      </c>
      <c r="H4974" s="2275"/>
      <c r="I4974" s="2296"/>
      <c r="J4974" s="291"/>
      <c r="K4974" s="291"/>
      <c r="L4974" s="291"/>
      <c r="M4974" s="291"/>
      <c r="S4974" s="364"/>
      <c r="Z4974" s="609" t="s">
        <v>4359</v>
      </c>
      <c r="AA4974" s="609" t="s">
        <v>5718</v>
      </c>
    </row>
    <row r="4975" spans="1:27" ht="24">
      <c r="A4975" s="2714"/>
      <c r="B4975" s="371">
        <v>106</v>
      </c>
      <c r="C4975" s="371"/>
      <c r="D4975" s="2716">
        <f t="shared" si="539"/>
        <v>1</v>
      </c>
      <c r="E4975" s="2721">
        <v>1</v>
      </c>
      <c r="F4975" s="294"/>
      <c r="G4975" s="1474" t="s">
        <v>4367</v>
      </c>
      <c r="H4975" s="2275">
        <v>1497.18</v>
      </c>
      <c r="I4975" s="2296"/>
      <c r="J4975" s="291"/>
      <c r="K4975" s="291"/>
      <c r="L4975" s="291"/>
      <c r="M4975" s="291"/>
      <c r="S4975" s="364"/>
      <c r="Z4975" s="609" t="s">
        <v>4359</v>
      </c>
      <c r="AA4975" s="609" t="s">
        <v>5718</v>
      </c>
    </row>
    <row r="4976" spans="1:27" ht="24">
      <c r="A4976" s="2714"/>
      <c r="B4976" s="371">
        <v>107</v>
      </c>
      <c r="C4976" s="371"/>
      <c r="D4976" s="2716">
        <f t="shared" si="539"/>
        <v>1</v>
      </c>
      <c r="E4976" s="2721">
        <v>1</v>
      </c>
      <c r="F4976" s="294"/>
      <c r="G4976" s="1474" t="s">
        <v>4368</v>
      </c>
      <c r="H4976" s="2275">
        <v>-1255338.42</v>
      </c>
      <c r="I4976" s="2296"/>
      <c r="J4976" s="291"/>
      <c r="K4976" s="291"/>
      <c r="L4976" s="291"/>
      <c r="M4976" s="291"/>
      <c r="S4976" s="364"/>
      <c r="Z4976" s="609" t="s">
        <v>4359</v>
      </c>
      <c r="AA4976" s="609" t="s">
        <v>5718</v>
      </c>
    </row>
    <row r="4977" spans="1:27" ht="36">
      <c r="A4977" s="2714"/>
      <c r="B4977" s="371">
        <v>108</v>
      </c>
      <c r="C4977" s="371"/>
      <c r="D4977" s="2716">
        <f t="shared" si="539"/>
        <v>1</v>
      </c>
      <c r="E4977" s="2721">
        <v>1</v>
      </c>
      <c r="F4977" s="294"/>
      <c r="G4977" s="1474" t="s">
        <v>4369</v>
      </c>
      <c r="H4977" s="2275"/>
      <c r="I4977" s="2296"/>
      <c r="J4977" s="291"/>
      <c r="K4977" s="291"/>
      <c r="L4977" s="291"/>
      <c r="M4977" s="291"/>
      <c r="S4977" s="364"/>
      <c r="Z4977" s="609" t="s">
        <v>4359</v>
      </c>
      <c r="AA4977" s="609" t="s">
        <v>5718</v>
      </c>
    </row>
    <row r="4978" spans="1:27" ht="18">
      <c r="A4978" s="2714"/>
      <c r="B4978" s="371">
        <v>109</v>
      </c>
      <c r="C4978" s="371"/>
      <c r="D4978" s="2716">
        <f t="shared" si="539"/>
        <v>1</v>
      </c>
      <c r="E4978" s="2721">
        <v>1</v>
      </c>
      <c r="F4978" s="294"/>
      <c r="G4978" s="1474" t="s">
        <v>4370</v>
      </c>
      <c r="H4978" s="2275"/>
      <c r="I4978" s="2296"/>
      <c r="J4978" s="291"/>
      <c r="K4978" s="291"/>
      <c r="L4978" s="291"/>
      <c r="M4978" s="291"/>
      <c r="S4978" s="364"/>
      <c r="Z4978" s="609" t="s">
        <v>4359</v>
      </c>
      <c r="AA4978" s="609" t="s">
        <v>5718</v>
      </c>
    </row>
    <row r="4979" spans="1:27" ht="18">
      <c r="A4979" s="2714"/>
      <c r="B4979" s="371">
        <v>110</v>
      </c>
      <c r="C4979" s="371" t="s">
        <v>2791</v>
      </c>
      <c r="D4979" s="2716">
        <f t="shared" si="539"/>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111</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
      <c r="A4981" s="2714"/>
      <c r="B4981" s="371">
        <v>112</v>
      </c>
      <c r="C4981" s="371" t="s">
        <v>2791</v>
      </c>
      <c r="D4981" s="2716">
        <f t="shared" si="539"/>
        <v>0</v>
      </c>
      <c r="E4981" s="2721">
        <v>1</v>
      </c>
      <c r="F4981" s="294"/>
      <c r="G4981" s="2568" t="s">
        <v>2792</v>
      </c>
      <c r="H4981" s="2275"/>
      <c r="I4981" s="2296"/>
      <c r="J4981" s="291"/>
      <c r="K4981" s="291"/>
      <c r="L4981" s="291"/>
      <c r="M4981" s="291"/>
      <c r="S4981" s="364"/>
      <c r="Z4981" s="609" t="s">
        <v>4359</v>
      </c>
      <c r="AA4981" s="609" t="s">
        <v>5718</v>
      </c>
    </row>
    <row r="4982" spans="1:27" ht="18">
      <c r="A4982" s="2714"/>
      <c r="B4982" s="371">
        <v>113</v>
      </c>
      <c r="C4982" s="371" t="s">
        <v>2791</v>
      </c>
      <c r="D4982" s="2716">
        <f t="shared" si="539"/>
        <v>0</v>
      </c>
      <c r="E4982" s="2721">
        <v>1</v>
      </c>
      <c r="F4982" s="294"/>
      <c r="G4982" s="2568" t="s">
        <v>2792</v>
      </c>
      <c r="H4982" s="2275"/>
      <c r="I4982" s="2296"/>
      <c r="J4982" s="291"/>
      <c r="K4982" s="291"/>
      <c r="L4982" s="291"/>
      <c r="M4982" s="291"/>
      <c r="S4982" s="364"/>
      <c r="Z4982" s="609" t="s">
        <v>4359</v>
      </c>
      <c r="AA4982" s="609" t="s">
        <v>5718</v>
      </c>
    </row>
    <row r="4983" spans="1:27" ht="18.75" thickBot="1">
      <c r="A4983" s="2714"/>
      <c r="B4983" s="371"/>
      <c r="C4983" s="371"/>
      <c r="D4983" s="2716">
        <f t="shared" si="539"/>
        <v>1</v>
      </c>
      <c r="E4983" s="2721" t="s">
        <v>2751</v>
      </c>
      <c r="F4983" s="294"/>
      <c r="G4983" s="2234" t="s">
        <v>717</v>
      </c>
      <c r="H4983" s="2430">
        <f>SUMPRODUCT($E4969:$E4982,H4969:H4982)</f>
        <v>-1089328.4099999999</v>
      </c>
      <c r="I4983" s="2431">
        <f>SUMPRODUCT($E4969:$E4982,I4969:I4982)</f>
        <v>0</v>
      </c>
      <c r="J4983" s="355"/>
      <c r="K4983" s="291"/>
      <c r="L4983" s="291"/>
      <c r="M4983" s="291"/>
      <c r="S4983" s="364"/>
      <c r="Z4983" s="609" t="s">
        <v>4359</v>
      </c>
      <c r="AA4983" s="609" t="s">
        <v>5718</v>
      </c>
    </row>
    <row r="4984" spans="1:27" ht="18">
      <c r="A4984" s="2714"/>
      <c r="B4984" s="371"/>
      <c r="C4984" s="371" t="s">
        <v>2755</v>
      </c>
      <c r="D4984" s="371"/>
      <c r="F4984" s="294"/>
      <c r="G4984" s="301"/>
      <c r="H4984" s="315"/>
      <c r="I4984" s="315"/>
      <c r="J4984" s="291"/>
      <c r="K4984" s="291"/>
      <c r="L4984" s="291"/>
      <c r="M4984" s="291"/>
      <c r="S4984" s="364"/>
      <c r="Z4984" s="609" t="s">
        <v>4359</v>
      </c>
      <c r="AA4984" s="609" t="s">
        <v>5718</v>
      </c>
    </row>
    <row r="4985" spans="1:27" ht="18">
      <c r="A4985" s="2714">
        <v>9690</v>
      </c>
      <c r="B4985" s="371">
        <v>9000</v>
      </c>
      <c r="C4985" s="2716" t="str">
        <f>VLOOKUP($A4985,Sheet_Items,2,0)</f>
        <v>补充资料</v>
      </c>
      <c r="D4985" s="371"/>
      <c r="E4985" s="2716" t="s">
        <v>2739</v>
      </c>
      <c r="F4985" s="294"/>
      <c r="G4985" s="305" t="str">
        <f>B4985&amp;" "&amp;C4985</f>
        <v>9000 补充资料</v>
      </c>
      <c r="H4985" s="306"/>
      <c r="I4985" s="306"/>
      <c r="J4985" s="306"/>
      <c r="K4985" s="539"/>
      <c r="L4985" s="342"/>
      <c r="M4985" s="306"/>
      <c r="N4985" s="539"/>
      <c r="O4985" s="306"/>
      <c r="P4985" s="301"/>
      <c r="S4985" s="364"/>
      <c r="Z4985" s="609" t="s">
        <v>2195</v>
      </c>
      <c r="AA4985" s="371"/>
    </row>
    <row r="4986" spans="1:27" ht="24">
      <c r="A4986" s="2714" t="s">
        <v>2193</v>
      </c>
      <c r="B4986" s="371">
        <v>1</v>
      </c>
      <c r="C4986" s="371"/>
      <c r="D4986" s="2716" t="str">
        <f>VLOOKUP($A4986,Sheet_NoteList,2,0)</f>
        <v>费用按性质分类的补充资料</v>
      </c>
      <c r="E4986" s="2716" t="s">
        <v>6531</v>
      </c>
      <c r="F4986" s="294"/>
      <c r="G4986" s="372" t="str">
        <f>"("&amp;B4986&amp;")"&amp;D4986</f>
        <v>(1)费用按性质分类的补充资料</v>
      </c>
      <c r="H4986" s="1517" t="str">
        <f>$A4986</f>
        <v>9690a</v>
      </c>
      <c r="I4986" s="343" t="s">
        <v>5124</v>
      </c>
      <c r="J4986" s="301" t="s">
        <v>5491</v>
      </c>
      <c r="K4986" s="2210">
        <f>H4998</f>
        <v>0</v>
      </c>
      <c r="L4986" s="345"/>
      <c r="M4986" s="301" t="s">
        <v>5492</v>
      </c>
      <c r="N4986" s="2210">
        <f>I4998</f>
        <v>0</v>
      </c>
      <c r="O4986" s="345"/>
      <c r="P4986" s="301"/>
      <c r="S4986" s="364"/>
      <c r="Z4986" s="609" t="s">
        <v>2195</v>
      </c>
      <c r="AA4986" s="609"/>
    </row>
    <row r="4987" spans="1:27" ht="0.75" customHeight="1" thickBot="1">
      <c r="A4987" s="2714"/>
      <c r="B4987" s="371"/>
      <c r="C4987" s="371"/>
      <c r="D4987" s="371"/>
      <c r="F4987" s="371"/>
      <c r="G4987" s="371" t="s">
        <v>4371</v>
      </c>
      <c r="H4987" s="371" t="s">
        <v>4223</v>
      </c>
      <c r="I4987" s="371" t="s">
        <v>4224</v>
      </c>
      <c r="J4987" s="291"/>
      <c r="K4987" s="291"/>
      <c r="L4987" s="291"/>
      <c r="M4987" s="291"/>
      <c r="S4987" s="364"/>
      <c r="Z4987" s="609" t="s">
        <v>2195</v>
      </c>
      <c r="AA4987" s="609"/>
    </row>
    <row r="4988" spans="1:27" ht="18">
      <c r="A4988" s="2714"/>
      <c r="B4988" s="371"/>
      <c r="C4988" s="371"/>
      <c r="D4988" s="371"/>
      <c r="E4988" s="2716" t="s">
        <v>2749</v>
      </c>
      <c r="F4988" s="294"/>
      <c r="G4988" s="1582" t="s">
        <v>47</v>
      </c>
      <c r="H4988" s="1580" t="str">
        <f>$V$4</f>
        <v>2019年度</v>
      </c>
      <c r="I4988" s="1581" t="str">
        <f>$V$5</f>
        <v>2018年度</v>
      </c>
      <c r="J4988" s="424" t="s">
        <v>4372</v>
      </c>
      <c r="K4988" s="291"/>
      <c r="L4988" s="291"/>
      <c r="M4988" s="291"/>
      <c r="S4988" s="364"/>
      <c r="Z4988" s="609" t="s">
        <v>2195</v>
      </c>
      <c r="AA4988" s="609"/>
    </row>
    <row r="4989" spans="1:27" ht="18">
      <c r="A4989" s="2714"/>
      <c r="B4989" s="371">
        <v>101</v>
      </c>
      <c r="C4989" s="371"/>
      <c r="D4989" s="2716">
        <f t="shared" ref="D4989:D4998" si="540">IF(OR(G4989="*",G4989="",G4989=0),0,COUNTIF($G$4989:$G$4998,G4989))</f>
        <v>1</v>
      </c>
      <c r="E4989" s="2721">
        <v>1</v>
      </c>
      <c r="F4989" s="294"/>
      <c r="G4989" s="308" t="s">
        <v>4373</v>
      </c>
      <c r="H4989" s="309"/>
      <c r="I4989" s="346"/>
      <c r="J4989" s="579"/>
      <c r="K4989" s="291"/>
      <c r="L4989" s="291"/>
      <c r="M4989" s="291"/>
      <c r="S4989" s="364"/>
      <c r="Z4989" s="609" t="s">
        <v>2195</v>
      </c>
      <c r="AA4989" s="609"/>
    </row>
    <row r="4990" spans="1:27" ht="18">
      <c r="A4990" s="2714"/>
      <c r="B4990" s="371">
        <v>102</v>
      </c>
      <c r="C4990" s="371"/>
      <c r="D4990" s="2716">
        <f t="shared" si="540"/>
        <v>1</v>
      </c>
      <c r="E4990" s="2721">
        <v>1</v>
      </c>
      <c r="F4990" s="294"/>
      <c r="G4990" s="308" t="s">
        <v>4374</v>
      </c>
      <c r="H4990" s="309"/>
      <c r="I4990" s="346"/>
      <c r="J4990" s="291"/>
      <c r="K4990" s="291"/>
      <c r="L4990" s="291"/>
      <c r="M4990" s="291"/>
      <c r="S4990" s="364"/>
      <c r="Z4990" s="609" t="s">
        <v>2195</v>
      </c>
      <c r="AA4990" s="609"/>
    </row>
    <row r="4991" spans="1:27" ht="18">
      <c r="A4991" s="2714"/>
      <c r="B4991" s="371">
        <v>103</v>
      </c>
      <c r="C4991" s="371"/>
      <c r="D4991" s="2716">
        <f t="shared" si="540"/>
        <v>1</v>
      </c>
      <c r="E4991" s="2721">
        <v>1</v>
      </c>
      <c r="F4991" s="294"/>
      <c r="G4991" s="308" t="s">
        <v>4375</v>
      </c>
      <c r="H4991" s="309"/>
      <c r="I4991" s="346"/>
      <c r="J4991" s="291"/>
      <c r="K4991" s="291"/>
      <c r="L4991" s="291"/>
      <c r="M4991" s="291"/>
      <c r="S4991" s="364"/>
      <c r="Z4991" s="609" t="s">
        <v>2195</v>
      </c>
      <c r="AA4991" s="609"/>
    </row>
    <row r="4992" spans="1:27" ht="18">
      <c r="A4992" s="2714"/>
      <c r="B4992" s="371">
        <v>104</v>
      </c>
      <c r="C4992" s="371"/>
      <c r="D4992" s="2716">
        <f t="shared" si="540"/>
        <v>1</v>
      </c>
      <c r="E4992" s="2721">
        <v>1</v>
      </c>
      <c r="F4992" s="294"/>
      <c r="G4992" s="308" t="s">
        <v>4376</v>
      </c>
      <c r="H4992" s="309"/>
      <c r="I4992" s="346"/>
      <c r="J4992" s="291"/>
      <c r="K4992" s="291"/>
      <c r="L4992" s="291"/>
      <c r="M4992" s="291"/>
      <c r="S4992" s="364"/>
      <c r="Z4992" s="609" t="s">
        <v>2195</v>
      </c>
      <c r="AA4992" s="609"/>
    </row>
    <row r="4993" spans="1:27" ht="18">
      <c r="A4993" s="2714"/>
      <c r="B4993" s="371">
        <v>105</v>
      </c>
      <c r="C4993" s="371"/>
      <c r="D4993" s="2716">
        <f t="shared" si="540"/>
        <v>1</v>
      </c>
      <c r="E4993" s="2721">
        <v>1</v>
      </c>
      <c r="F4993" s="294"/>
      <c r="G4993" s="308" t="s">
        <v>4377</v>
      </c>
      <c r="H4993" s="309"/>
      <c r="I4993" s="346"/>
      <c r="J4993" s="291"/>
      <c r="K4993" s="291"/>
      <c r="L4993" s="291"/>
      <c r="M4993" s="291"/>
      <c r="S4993" s="364"/>
      <c r="Z4993" s="609" t="s">
        <v>2195</v>
      </c>
      <c r="AA4993" s="609"/>
    </row>
    <row r="4994" spans="1:27" ht="18">
      <c r="A4994" s="2714"/>
      <c r="B4994" s="371">
        <v>106</v>
      </c>
      <c r="C4994" s="371"/>
      <c r="D4994" s="2716">
        <f t="shared" si="540"/>
        <v>1</v>
      </c>
      <c r="E4994" s="2721">
        <v>1</v>
      </c>
      <c r="F4994" s="294"/>
      <c r="G4994" s="308" t="s">
        <v>4378</v>
      </c>
      <c r="H4994" s="309"/>
      <c r="I4994" s="346"/>
      <c r="J4994" s="291"/>
      <c r="K4994" s="291"/>
      <c r="L4994" s="291"/>
      <c r="M4994" s="291"/>
      <c r="S4994" s="364"/>
      <c r="Z4994" s="609" t="s">
        <v>2195</v>
      </c>
      <c r="AA4994" s="609"/>
    </row>
    <row r="4995" spans="1:27" ht="18">
      <c r="A4995" s="2714"/>
      <c r="B4995" s="371">
        <v>107</v>
      </c>
      <c r="C4995" s="371"/>
      <c r="D4995" s="2716">
        <f t="shared" si="540"/>
        <v>1</v>
      </c>
      <c r="E4995" s="2721">
        <v>1</v>
      </c>
      <c r="F4995" s="294"/>
      <c r="G4995" s="308" t="s">
        <v>689</v>
      </c>
      <c r="H4995" s="309"/>
      <c r="I4995" s="346"/>
      <c r="J4995" s="291"/>
      <c r="K4995" s="291"/>
      <c r="L4995" s="291"/>
      <c r="M4995" s="291"/>
      <c r="S4995" s="364"/>
      <c r="Z4995" s="609" t="s">
        <v>2195</v>
      </c>
      <c r="AA4995" s="609"/>
    </row>
    <row r="4996" spans="1:27" ht="18">
      <c r="A4996" s="2714"/>
      <c r="B4996" s="371">
        <v>108</v>
      </c>
      <c r="C4996" s="371"/>
      <c r="D4996" s="2716">
        <f t="shared" si="540"/>
        <v>1</v>
      </c>
      <c r="E4996" s="2721">
        <v>1</v>
      </c>
      <c r="F4996" s="294"/>
      <c r="G4996" s="308" t="s">
        <v>4379</v>
      </c>
      <c r="H4996" s="309"/>
      <c r="I4996" s="346"/>
      <c r="J4996" s="291"/>
      <c r="K4996" s="291"/>
      <c r="L4996" s="291"/>
      <c r="M4996" s="291"/>
      <c r="S4996" s="364"/>
      <c r="Z4996" s="609" t="s">
        <v>2195</v>
      </c>
      <c r="AA4996" s="609"/>
    </row>
    <row r="4997" spans="1:27" ht="18">
      <c r="A4997" s="2714"/>
      <c r="B4997" s="371">
        <v>109</v>
      </c>
      <c r="C4997" s="371" t="s">
        <v>2791</v>
      </c>
      <c r="D4997" s="2716">
        <f t="shared" si="540"/>
        <v>0</v>
      </c>
      <c r="E4997" s="2721">
        <v>1</v>
      </c>
      <c r="F4997" s="294"/>
      <c r="G4997" s="1583" t="s">
        <v>2792</v>
      </c>
      <c r="H4997" s="309"/>
      <c r="I4997" s="346"/>
      <c r="J4997" s="291"/>
      <c r="K4997" s="291"/>
      <c r="L4997" s="291"/>
      <c r="M4997" s="291"/>
      <c r="S4997" s="364"/>
      <c r="Z4997" s="609" t="s">
        <v>2195</v>
      </c>
      <c r="AA4997" s="609"/>
    </row>
    <row r="4998" spans="1:27" ht="18.75" thickBot="1">
      <c r="A4998" s="2714"/>
      <c r="B4998" s="371"/>
      <c r="C4998" s="371"/>
      <c r="D4998" s="2716">
        <f t="shared" si="540"/>
        <v>1</v>
      </c>
      <c r="E4998" s="2721" t="s">
        <v>2751</v>
      </c>
      <c r="F4998" s="294"/>
      <c r="G4998" s="1529" t="s">
        <v>2752</v>
      </c>
      <c r="H4998" s="1527">
        <f>SUMPRODUCT($E4988:$E4997,H4988:H4997)</f>
        <v>0</v>
      </c>
      <c r="I4998" s="1528">
        <f>SUMPRODUCT($E4988:$E4997,I4988:I4997)</f>
        <v>0</v>
      </c>
      <c r="J4998" s="291"/>
      <c r="K4998" s="291"/>
      <c r="L4998" s="291"/>
      <c r="M4998" s="291"/>
      <c r="S4998" s="364"/>
      <c r="Z4998" s="609" t="s">
        <v>2195</v>
      </c>
      <c r="AA4998" s="609"/>
    </row>
    <row r="4999" spans="1:27" ht="18">
      <c r="A4999" s="2714"/>
      <c r="B4999" s="371"/>
      <c r="C4999" s="371" t="s">
        <v>2755</v>
      </c>
      <c r="D4999" s="371"/>
      <c r="F4999" s="294"/>
      <c r="G4999" s="301"/>
      <c r="H4999" s="315"/>
      <c r="I4999" s="315"/>
      <c r="J4999" s="291"/>
      <c r="K4999" s="291"/>
      <c r="L4999" s="291"/>
      <c r="M4999" s="291"/>
      <c r="S4999" s="364"/>
      <c r="Z4999" s="609" t="s">
        <v>2195</v>
      </c>
      <c r="AA4999" s="609"/>
    </row>
    <row r="5000" spans="1:27" ht="18">
      <c r="A5000" s="2714" t="s">
        <v>2197</v>
      </c>
      <c r="B5000" s="371">
        <v>2</v>
      </c>
      <c r="C5000" s="371"/>
      <c r="D5000" s="2716" t="str">
        <f>VLOOKUP($A5000,Sheet_NoteList,2,0)</f>
        <v>补充资料（一）</v>
      </c>
      <c r="E5000" s="2716" t="s">
        <v>6532</v>
      </c>
      <c r="F5000" s="294"/>
      <c r="G5000" s="307" t="str">
        <f>"("&amp;B5000&amp;")"&amp;D5000</f>
        <v>(2)补充资料（一）</v>
      </c>
      <c r="H5000" s="1517" t="str">
        <f>$A5000</f>
        <v>9690b</v>
      </c>
      <c r="I5000" s="343" t="s">
        <v>5969</v>
      </c>
      <c r="J5000" s="301"/>
      <c r="K5000" s="391"/>
      <c r="L5000" s="345"/>
      <c r="M5000" s="301"/>
      <c r="N5000" s="391"/>
      <c r="O5000" s="345"/>
      <c r="P5000" s="301"/>
      <c r="S5000" s="364"/>
      <c r="Z5000" s="609" t="s">
        <v>2195</v>
      </c>
      <c r="AA5000" s="609"/>
    </row>
    <row r="5001" spans="1:27" ht="0.75" customHeight="1" thickBot="1">
      <c r="A5001" s="2714"/>
      <c r="B5001" s="371"/>
      <c r="C5001" s="371"/>
      <c r="D5001" s="371"/>
      <c r="E5001" s="586"/>
      <c r="F5001" s="586"/>
      <c r="G5001" s="586" t="s">
        <v>4380</v>
      </c>
      <c r="H5001" s="371" t="s">
        <v>2904</v>
      </c>
      <c r="I5001" s="371" t="s">
        <v>3255</v>
      </c>
      <c r="J5001" s="371" t="s">
        <v>3256</v>
      </c>
      <c r="K5001" s="371" t="s">
        <v>3241</v>
      </c>
      <c r="L5001" s="371" t="s">
        <v>3267</v>
      </c>
      <c r="M5001" s="371" t="s">
        <v>3268</v>
      </c>
      <c r="N5001" s="371" t="s">
        <v>3269</v>
      </c>
      <c r="O5001" s="371" t="s">
        <v>3270</v>
      </c>
      <c r="P5001" s="371" t="s">
        <v>3271</v>
      </c>
      <c r="Q5001" s="543" t="s">
        <v>3272</v>
      </c>
      <c r="S5001" s="364"/>
      <c r="Z5001" s="609" t="s">
        <v>2195</v>
      </c>
      <c r="AA5001" s="609"/>
    </row>
    <row r="5002" spans="1:27" ht="18">
      <c r="A5002" s="2714"/>
      <c r="B5002" s="371"/>
      <c r="C5002" s="371"/>
      <c r="D5002" s="371"/>
      <c r="E5002" s="586" t="s">
        <v>2749</v>
      </c>
      <c r="F5002" s="363"/>
      <c r="G5002" s="2458" t="s">
        <v>47</v>
      </c>
      <c r="H5002" s="2459" t="s">
        <v>3273</v>
      </c>
      <c r="I5002" s="2459" t="s">
        <v>3274</v>
      </c>
      <c r="J5002" s="2459" t="s">
        <v>3275</v>
      </c>
      <c r="K5002" s="2459" t="s">
        <v>3276</v>
      </c>
      <c r="L5002" s="2459" t="s">
        <v>2544</v>
      </c>
      <c r="M5002" s="2459" t="s">
        <v>2549</v>
      </c>
      <c r="N5002" s="2459" t="s">
        <v>3277</v>
      </c>
      <c r="O5002" s="2459" t="s">
        <v>3278</v>
      </c>
      <c r="P5002" s="2459" t="s">
        <v>3279</v>
      </c>
      <c r="Q5002" s="2460" t="s">
        <v>3280</v>
      </c>
      <c r="R5002" s="544" t="s">
        <v>4381</v>
      </c>
      <c r="S5002" s="364"/>
      <c r="Z5002" s="609" t="s">
        <v>2195</v>
      </c>
      <c r="AA5002" s="609"/>
    </row>
    <row r="5003" spans="1:27" ht="18">
      <c r="A5003" s="2714"/>
      <c r="B5003" s="371">
        <v>101</v>
      </c>
      <c r="C5003" s="371" t="s">
        <v>2791</v>
      </c>
      <c r="D5003" s="2716">
        <f t="shared" ref="D5003:D5008" si="541">IF(OR(G5003="*",G5003="",G5003=0),0,COUNTIF($G$5003:$G$5008,G5003))</f>
        <v>0</v>
      </c>
      <c r="E5003" s="2721">
        <v>1</v>
      </c>
      <c r="F5003" s="294"/>
      <c r="G5003" s="2467" t="s">
        <v>2792</v>
      </c>
      <c r="H5003" s="2275"/>
      <c r="I5003" s="2275"/>
      <c r="J5003" s="2275"/>
      <c r="K5003" s="1476">
        <f>H5003+I5003-J5003</f>
        <v>0</v>
      </c>
      <c r="L5003" s="2275"/>
      <c r="M5003" s="2275"/>
      <c r="N5003" s="2275"/>
      <c r="O5003" s="2298"/>
      <c r="P5003" s="2298"/>
      <c r="Q5003" s="2276"/>
      <c r="R5003" s="544" t="s">
        <v>3282</v>
      </c>
      <c r="S5003" s="364"/>
      <c r="Z5003" s="609" t="s">
        <v>2195</v>
      </c>
      <c r="AA5003" s="609"/>
    </row>
    <row r="5004" spans="1:27" ht="18">
      <c r="A5004" s="2714"/>
      <c r="B5004" s="371">
        <v>102</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103</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
      <c r="A5006" s="2714"/>
      <c r="B5006" s="371">
        <v>104</v>
      </c>
      <c r="C5006" s="371" t="s">
        <v>2791</v>
      </c>
      <c r="D5006" s="2716">
        <f t="shared" si="541"/>
        <v>0</v>
      </c>
      <c r="E5006" s="2721">
        <v>1</v>
      </c>
      <c r="F5006" s="294"/>
      <c r="G5006" s="2467" t="s">
        <v>2792</v>
      </c>
      <c r="H5006" s="2275"/>
      <c r="I5006" s="2275"/>
      <c r="J5006" s="2275"/>
      <c r="K5006" s="1476">
        <f>H5006+I5006-J5006</f>
        <v>0</v>
      </c>
      <c r="L5006" s="2275"/>
      <c r="M5006" s="2275"/>
      <c r="N5006" s="2275"/>
      <c r="O5006" s="2298"/>
      <c r="P5006" s="2298"/>
      <c r="Q5006" s="2276"/>
      <c r="S5006" s="364"/>
      <c r="Z5006" s="609" t="s">
        <v>2195</v>
      </c>
      <c r="AA5006" s="609"/>
    </row>
    <row r="5007" spans="1:27" ht="18">
      <c r="A5007" s="2714"/>
      <c r="B5007" s="371">
        <v>105</v>
      </c>
      <c r="C5007" s="371" t="s">
        <v>2791</v>
      </c>
      <c r="D5007" s="2716">
        <f t="shared" si="541"/>
        <v>0</v>
      </c>
      <c r="E5007" s="2721">
        <v>1</v>
      </c>
      <c r="F5007" s="294"/>
      <c r="G5007" s="2467" t="s">
        <v>2792</v>
      </c>
      <c r="H5007" s="2275"/>
      <c r="I5007" s="2275"/>
      <c r="J5007" s="2275"/>
      <c r="K5007" s="1476">
        <f>H5007+I5007-J5007</f>
        <v>0</v>
      </c>
      <c r="L5007" s="2275"/>
      <c r="M5007" s="2275"/>
      <c r="N5007" s="2275"/>
      <c r="O5007" s="2298"/>
      <c r="P5007" s="2298"/>
      <c r="Q5007" s="2276"/>
      <c r="S5007" s="364"/>
      <c r="Z5007" s="609" t="s">
        <v>2195</v>
      </c>
      <c r="AA5007" s="609"/>
    </row>
    <row r="5008" spans="1:27" ht="18.75" thickBot="1">
      <c r="A5008" s="2714"/>
      <c r="B5008" s="371"/>
      <c r="C5008" s="371"/>
      <c r="D5008" s="2716">
        <f t="shared" si="541"/>
        <v>1</v>
      </c>
      <c r="E5008" s="2721" t="s">
        <v>2751</v>
      </c>
      <c r="F5008" s="294"/>
      <c r="G5008" s="1529" t="s">
        <v>2752</v>
      </c>
      <c r="H5008" s="1527">
        <f t="shared" ref="H5008:N5008" si="542">SUMPRODUCT($E5002:$E5007,H5002:H5007)</f>
        <v>0</v>
      </c>
      <c r="I5008" s="1527">
        <f t="shared" si="542"/>
        <v>0</v>
      </c>
      <c r="J5008" s="1527">
        <f t="shared" si="542"/>
        <v>0</v>
      </c>
      <c r="K5008" s="1527">
        <f t="shared" si="542"/>
        <v>0</v>
      </c>
      <c r="L5008" s="1527">
        <f t="shared" si="542"/>
        <v>0</v>
      </c>
      <c r="M5008" s="1527">
        <f t="shared" si="542"/>
        <v>0</v>
      </c>
      <c r="N5008" s="1527">
        <f t="shared" si="542"/>
        <v>0</v>
      </c>
      <c r="O5008" s="2316"/>
      <c r="P5008" s="2316"/>
      <c r="Q5008" s="2266"/>
      <c r="S5008" s="364"/>
      <c r="Z5008" s="609" t="s">
        <v>2195</v>
      </c>
      <c r="AA5008" s="609"/>
    </row>
    <row r="5009" spans="1:27" ht="18">
      <c r="A5009" s="2714"/>
      <c r="B5009" s="371"/>
      <c r="C5009" s="371" t="s">
        <v>2755</v>
      </c>
      <c r="D5009" s="371"/>
      <c r="F5009" s="294"/>
      <c r="G5009" s="301"/>
      <c r="H5009" s="315"/>
      <c r="I5009" s="315"/>
      <c r="J5009" s="315"/>
      <c r="K5009" s="315"/>
      <c r="L5009" s="315"/>
      <c r="M5009" s="315"/>
      <c r="N5009" s="315"/>
      <c r="O5009" s="393"/>
      <c r="P5009" s="393"/>
      <c r="Q5009" s="545"/>
      <c r="S5009" s="364"/>
      <c r="Z5009" s="609" t="s">
        <v>2195</v>
      </c>
      <c r="AA5009" s="609"/>
    </row>
    <row r="5010" spans="1:27" ht="18">
      <c r="A5010" s="2714" t="s">
        <v>2200</v>
      </c>
      <c r="B5010" s="371">
        <v>3</v>
      </c>
      <c r="C5010" s="371"/>
      <c r="D5010" s="2716" t="str">
        <f>VLOOKUP($A5010,Sheet_NoteList,2,0)</f>
        <v>补充资料（二）</v>
      </c>
      <c r="E5010" s="2716" t="s">
        <v>6532</v>
      </c>
      <c r="F5010" s="294"/>
      <c r="G5010" s="307" t="str">
        <f>"("&amp;B5010&amp;")"&amp;D5010</f>
        <v>(3)补充资料（二）</v>
      </c>
      <c r="H5010" s="1517" t="str">
        <f>$A5010</f>
        <v>9690c</v>
      </c>
      <c r="I5010" s="343" t="s">
        <v>5974</v>
      </c>
      <c r="J5010" s="301"/>
      <c r="K5010" s="391"/>
      <c r="L5010" s="345"/>
      <c r="M5010" s="301"/>
      <c r="N5010" s="391"/>
      <c r="O5010" s="345"/>
      <c r="P5010" s="301"/>
      <c r="S5010" s="364"/>
      <c r="Z5010" s="609" t="s">
        <v>2195</v>
      </c>
      <c r="AA5010" s="609"/>
    </row>
    <row r="5011" spans="1:27" ht="0.75" customHeight="1" thickBot="1">
      <c r="A5011" s="2714"/>
      <c r="B5011" s="371"/>
      <c r="C5011" s="371"/>
      <c r="D5011" s="371"/>
      <c r="E5011" s="586"/>
      <c r="F5011" s="586"/>
      <c r="G5011" s="586" t="s">
        <v>4382</v>
      </c>
      <c r="H5011" s="371" t="s">
        <v>4223</v>
      </c>
      <c r="I5011" s="371" t="s">
        <v>4224</v>
      </c>
      <c r="J5011" s="371" t="s">
        <v>3267</v>
      </c>
      <c r="K5011" s="371" t="s">
        <v>3268</v>
      </c>
      <c r="L5011" s="371" t="s">
        <v>3269</v>
      </c>
      <c r="M5011" s="371" t="s">
        <v>3270</v>
      </c>
      <c r="N5011" s="371" t="s">
        <v>3271</v>
      </c>
      <c r="O5011" s="543" t="s">
        <v>3272</v>
      </c>
      <c r="S5011" s="364"/>
      <c r="Z5011" s="609" t="s">
        <v>2195</v>
      </c>
      <c r="AA5011" s="609"/>
    </row>
    <row r="5012" spans="1:27" ht="18">
      <c r="A5012" s="2714"/>
      <c r="B5012" s="371"/>
      <c r="C5012" s="371"/>
      <c r="D5012" s="371"/>
      <c r="E5012" s="586" t="s">
        <v>2749</v>
      </c>
      <c r="F5012" s="363"/>
      <c r="G5012" s="2458" t="s">
        <v>47</v>
      </c>
      <c r="H5012" s="2459" t="s">
        <v>4242</v>
      </c>
      <c r="I5012" s="2459" t="s">
        <v>4245</v>
      </c>
      <c r="J5012" s="2459" t="s">
        <v>2544</v>
      </c>
      <c r="K5012" s="2459" t="s">
        <v>2549</v>
      </c>
      <c r="L5012" s="2459" t="s">
        <v>3277</v>
      </c>
      <c r="M5012" s="2459" t="s">
        <v>3278</v>
      </c>
      <c r="N5012" s="2459" t="s">
        <v>3279</v>
      </c>
      <c r="O5012" s="2460" t="s">
        <v>3280</v>
      </c>
      <c r="P5012" s="544" t="s">
        <v>4381</v>
      </c>
      <c r="S5012" s="364"/>
      <c r="Z5012" s="609" t="s">
        <v>2195</v>
      </c>
      <c r="AA5012" s="609"/>
    </row>
    <row r="5013" spans="1:27" ht="18">
      <c r="A5013" s="2714"/>
      <c r="B5013" s="371">
        <v>101</v>
      </c>
      <c r="C5013" s="371" t="s">
        <v>2791</v>
      </c>
      <c r="D5013" s="2716">
        <f t="shared" ref="D5013:D5018" si="543">IF(OR(G5013="*",G5013="",G5013=0),0,COUNTIF($G$5013:$G$5018,G5013))</f>
        <v>0</v>
      </c>
      <c r="E5013" s="2721">
        <v>1</v>
      </c>
      <c r="F5013" s="294"/>
      <c r="G5013" s="2467" t="s">
        <v>2792</v>
      </c>
      <c r="H5013" s="2275"/>
      <c r="I5013" s="2275"/>
      <c r="J5013" s="2275"/>
      <c r="K5013" s="2275"/>
      <c r="L5013" s="2275"/>
      <c r="M5013" s="2298"/>
      <c r="N5013" s="2298"/>
      <c r="O5013" s="2276"/>
      <c r="P5013" s="544" t="s">
        <v>3282</v>
      </c>
      <c r="S5013" s="364"/>
      <c r="Z5013" s="609" t="s">
        <v>2195</v>
      </c>
      <c r="AA5013" s="609"/>
    </row>
    <row r="5014" spans="1:27" ht="18">
      <c r="A5014" s="2714"/>
      <c r="B5014" s="371">
        <v>102</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103</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
      <c r="A5016" s="2714"/>
      <c r="B5016" s="371">
        <v>104</v>
      </c>
      <c r="C5016" s="371" t="s">
        <v>2791</v>
      </c>
      <c r="D5016" s="2716">
        <f t="shared" si="543"/>
        <v>0</v>
      </c>
      <c r="E5016" s="2721">
        <v>1</v>
      </c>
      <c r="F5016" s="294"/>
      <c r="G5016" s="2467" t="s">
        <v>2792</v>
      </c>
      <c r="H5016" s="2275"/>
      <c r="I5016" s="2275"/>
      <c r="J5016" s="2275"/>
      <c r="K5016" s="2275"/>
      <c r="L5016" s="2275"/>
      <c r="M5016" s="2298"/>
      <c r="N5016" s="2298"/>
      <c r="O5016" s="2276"/>
      <c r="S5016" s="364"/>
      <c r="Z5016" s="609" t="s">
        <v>2195</v>
      </c>
      <c r="AA5016" s="609"/>
    </row>
    <row r="5017" spans="1:27" ht="18">
      <c r="A5017" s="2714"/>
      <c r="B5017" s="371">
        <v>105</v>
      </c>
      <c r="C5017" s="371" t="s">
        <v>2791</v>
      </c>
      <c r="D5017" s="2716">
        <f t="shared" si="543"/>
        <v>0</v>
      </c>
      <c r="E5017" s="2721">
        <v>1</v>
      </c>
      <c r="F5017" s="294"/>
      <c r="G5017" s="2467" t="s">
        <v>2792</v>
      </c>
      <c r="H5017" s="2275"/>
      <c r="I5017" s="2275"/>
      <c r="J5017" s="2275"/>
      <c r="K5017" s="2275"/>
      <c r="L5017" s="2275"/>
      <c r="M5017" s="2298"/>
      <c r="N5017" s="2298"/>
      <c r="O5017" s="2276"/>
      <c r="S5017" s="364"/>
      <c r="Z5017" s="609" t="s">
        <v>2195</v>
      </c>
      <c r="AA5017" s="609"/>
    </row>
    <row r="5018" spans="1:27" ht="18.75" thickBot="1">
      <c r="A5018" s="2714"/>
      <c r="B5018" s="371"/>
      <c r="C5018" s="371"/>
      <c r="D5018" s="2716">
        <f t="shared" si="543"/>
        <v>1</v>
      </c>
      <c r="E5018" s="2721" t="s">
        <v>2751</v>
      </c>
      <c r="F5018" s="294"/>
      <c r="G5018" s="1529" t="s">
        <v>2752</v>
      </c>
      <c r="H5018" s="1527">
        <f>SUMPRODUCT($E5012:$E5017,H5012:H5017)</f>
        <v>0</v>
      </c>
      <c r="I5018" s="1527">
        <f>SUMPRODUCT($E5012:$E5017,I5012:I5017)</f>
        <v>0</v>
      </c>
      <c r="J5018" s="1527">
        <f>SUMPRODUCT($E5012:$E5017,J5012:J5017)</f>
        <v>0</v>
      </c>
      <c r="K5018" s="1527">
        <f>SUMPRODUCT($E5012:$E5017,K5012:K5017)</f>
        <v>0</v>
      </c>
      <c r="L5018" s="1527">
        <f>SUMPRODUCT($E5012:$E5017,L5012:L5017)</f>
        <v>0</v>
      </c>
      <c r="M5018" s="2316"/>
      <c r="N5018" s="2316"/>
      <c r="O5018" s="2266"/>
      <c r="S5018" s="364"/>
      <c r="Z5018" s="609" t="s">
        <v>2195</v>
      </c>
      <c r="AA5018" s="609"/>
    </row>
    <row r="5019" spans="1:27" ht="18">
      <c r="A5019" s="2714"/>
      <c r="B5019" s="371"/>
      <c r="C5019" s="371" t="s">
        <v>2755</v>
      </c>
      <c r="D5019" s="371"/>
      <c r="F5019" s="294"/>
      <c r="G5019" s="301"/>
      <c r="H5019" s="315"/>
      <c r="I5019" s="315"/>
      <c r="J5019" s="315"/>
      <c r="K5019" s="315"/>
      <c r="L5019" s="315"/>
      <c r="M5019" s="393"/>
      <c r="N5019" s="393"/>
      <c r="O5019" s="393"/>
      <c r="S5019" s="364"/>
      <c r="Z5019" s="609" t="s">
        <v>2195</v>
      </c>
      <c r="AA5019" s="609"/>
    </row>
    <row r="5020" spans="1:27" ht="18">
      <c r="A5020" s="2714">
        <v>7400</v>
      </c>
      <c r="B5020" s="371">
        <v>78</v>
      </c>
      <c r="C5020" s="2716" t="str">
        <f>VLOOKUP($A5020,Sheet_Items,2,0)</f>
        <v>现金流量表项目注释</v>
      </c>
      <c r="D5020" s="371"/>
      <c r="E5020" s="2716" t="s">
        <v>2739</v>
      </c>
      <c r="F5020" s="294"/>
      <c r="G5020" s="305" t="str">
        <f>B5020&amp;" "&amp;C5020</f>
        <v>78 现金流量表项目注释</v>
      </c>
      <c r="H5020" s="306"/>
      <c r="I5020" s="306"/>
      <c r="J5020" s="306"/>
      <c r="K5020" s="539"/>
      <c r="L5020" s="342"/>
      <c r="M5020" s="306"/>
      <c r="N5020" s="539"/>
      <c r="O5020" s="306"/>
      <c r="P5020" s="301"/>
      <c r="S5020" s="364"/>
      <c r="Z5020" s="609" t="s">
        <v>4383</v>
      </c>
      <c r="AA5020" s="371"/>
    </row>
    <row r="5021" spans="1:27" ht="18">
      <c r="A5021" s="2714">
        <v>7046</v>
      </c>
      <c r="B5021" s="371">
        <v>78.099999999999994</v>
      </c>
      <c r="C5021" s="2716" t="str">
        <f>VLOOKUP($A5021,Sheet_Items,2,0)</f>
        <v>收到其他与经营活动有关的现金</v>
      </c>
      <c r="D5021" s="371"/>
      <c r="E5021" s="2716" t="s">
        <v>2739</v>
      </c>
      <c r="F5021" s="294"/>
      <c r="G5021" s="536" t="str">
        <f>B5021&amp;" "&amp;C5021</f>
        <v>78.1 收到其他与经营活动有关的现金</v>
      </c>
      <c r="H5021" s="322"/>
      <c r="I5021" s="322"/>
      <c r="J5021" s="306" t="s">
        <v>4206</v>
      </c>
      <c r="K5021" s="341">
        <f>VLOOKUP($A5021,Sheet_Trialbal,6,0)</f>
        <v>120871.54</v>
      </c>
      <c r="L5021" s="342"/>
      <c r="M5021" s="306" t="s">
        <v>4207</v>
      </c>
      <c r="N5021" s="341">
        <f>VLOOKUP($A5021,Sheet_Trialbal,10,0)</f>
        <v>75955.25</v>
      </c>
      <c r="O5021" s="325"/>
      <c r="P5021" s="301"/>
      <c r="S5021" s="364"/>
      <c r="Z5021" s="609" t="s">
        <v>4384</v>
      </c>
      <c r="AA5021" s="609"/>
    </row>
    <row r="5022" spans="1:27" ht="24">
      <c r="A5022" s="2714" t="s">
        <v>1946</v>
      </c>
      <c r="B5022" s="371">
        <v>1</v>
      </c>
      <c r="C5022" s="371"/>
      <c r="D5022" s="2716" t="str">
        <f>VLOOKUP($A5022,Sheet_NoteList,2,0)</f>
        <v>收到的其他与经营活动有关的现金</v>
      </c>
      <c r="E5022" s="2716" t="s">
        <v>2742</v>
      </c>
      <c r="F5022" s="294"/>
      <c r="G5022" s="372" t="str">
        <f>"("&amp;B5022&amp;")"&amp;D5022</f>
        <v>(1)收到的其他与经营活动有关的现金</v>
      </c>
      <c r="H5022" s="1517" t="str">
        <f>$A5022</f>
        <v>7046a</v>
      </c>
      <c r="I5022" s="343" t="s">
        <v>2743</v>
      </c>
      <c r="J5022" s="301" t="s">
        <v>4256</v>
      </c>
      <c r="K5022" s="2210">
        <f>H5035</f>
        <v>120871.54</v>
      </c>
      <c r="L5022" s="1535">
        <f>IF($I5022="适用",IF(ROUND(K5021-K5022,2)&gt;=0,IF(K5021&lt;&gt;0,K5022/K5021,""),"#Logical!"),"#N/A")</f>
        <v>1</v>
      </c>
      <c r="M5022" s="301" t="s">
        <v>4257</v>
      </c>
      <c r="N5022" s="2210">
        <f>I5035</f>
        <v>0</v>
      </c>
      <c r="O5022" s="1535">
        <f>IF($I5022="适用",IF(ROUND(N5021-N5022,2)&gt;=0,IF(N5021&lt;&gt;0,N5022/N5021,""),"#Logical!"),"#N/A")</f>
        <v>0</v>
      </c>
      <c r="P5022" s="301"/>
      <c r="Q5022" s="290" t="str">
        <f>IF($I5022="不适用","",IF(ROUND(SUM($H$5025:$I$5035),2)=0,"请输入",""))</f>
        <v/>
      </c>
      <c r="S5022" s="364"/>
      <c r="Z5022" s="609" t="s">
        <v>4384</v>
      </c>
      <c r="AA5022" s="609"/>
    </row>
    <row r="5023" spans="1:27" ht="0.75" customHeight="1" thickBot="1">
      <c r="A5023" s="2714"/>
      <c r="B5023" s="371"/>
      <c r="C5023" s="371"/>
      <c r="D5023" s="371"/>
      <c r="E5023" s="586"/>
      <c r="F5023" s="363"/>
      <c r="G5023" s="363" t="s">
        <v>4385</v>
      </c>
      <c r="H5023" s="294" t="s">
        <v>4223</v>
      </c>
      <c r="I5023" s="294" t="s">
        <v>4224</v>
      </c>
      <c r="J5023" s="291"/>
      <c r="K5023" s="291"/>
      <c r="L5023" s="291"/>
      <c r="M5023" s="291"/>
      <c r="S5023" s="364"/>
      <c r="Z5023" s="609" t="s">
        <v>4384</v>
      </c>
      <c r="AA5023" s="609"/>
    </row>
    <row r="5024" spans="1:27" ht="18">
      <c r="A5024" s="2714"/>
      <c r="B5024" s="371"/>
      <c r="C5024" s="371"/>
      <c r="D5024" s="371"/>
      <c r="E5024" s="586" t="s">
        <v>2749</v>
      </c>
      <c r="F5024" s="363"/>
      <c r="G5024" s="2453" t="s">
        <v>47</v>
      </c>
      <c r="H5024" s="2461" t="str">
        <f>$V$4</f>
        <v>2019年度</v>
      </c>
      <c r="I5024" s="2462" t="str">
        <f>$V$5</f>
        <v>2018年度</v>
      </c>
      <c r="J5024" s="355" t="s">
        <v>5342</v>
      </c>
      <c r="K5024" s="291"/>
      <c r="L5024" s="291"/>
      <c r="M5024" s="291"/>
      <c r="S5024" s="364"/>
      <c r="Z5024" s="609" t="s">
        <v>4384</v>
      </c>
      <c r="AA5024" s="609"/>
    </row>
    <row r="5025" spans="1:27" ht="18">
      <c r="A5025" s="2714"/>
      <c r="B5025" s="371">
        <v>101</v>
      </c>
      <c r="C5025" s="371" t="s">
        <v>2791</v>
      </c>
      <c r="D5025" s="2716">
        <f t="shared" ref="D5025:D5035" si="544">IF(OR(G5025="*",G5025="",G5025=0),0,COUNTIF($G$5025:$G$5035,G5025))</f>
        <v>1</v>
      </c>
      <c r="E5025" s="2721">
        <v>1</v>
      </c>
      <c r="F5025" s="294"/>
      <c r="G5025" s="2467" t="s">
        <v>6833</v>
      </c>
      <c r="H5025" s="2275">
        <v>30000</v>
      </c>
      <c r="I5025" s="2296"/>
      <c r="J5025" s="291"/>
      <c r="K5025" s="291"/>
      <c r="L5025" s="291"/>
      <c r="M5025" s="291"/>
      <c r="S5025" s="364"/>
      <c r="Z5025" s="609" t="s">
        <v>4384</v>
      </c>
      <c r="AA5025" s="609"/>
    </row>
    <row r="5026" spans="1:27" ht="18">
      <c r="A5026" s="2714"/>
      <c r="B5026" s="371">
        <v>102</v>
      </c>
      <c r="C5026" s="371" t="s">
        <v>2791</v>
      </c>
      <c r="D5026" s="2716">
        <f t="shared" si="544"/>
        <v>1</v>
      </c>
      <c r="E5026" s="2721">
        <v>1</v>
      </c>
      <c r="F5026" s="294"/>
      <c r="G5026" s="2467" t="s">
        <v>6834</v>
      </c>
      <c r="H5026" s="2275">
        <v>2363.79</v>
      </c>
      <c r="I5026" s="2296"/>
      <c r="J5026" s="291"/>
      <c r="K5026" s="291"/>
      <c r="L5026" s="291"/>
      <c r="M5026" s="291"/>
      <c r="S5026" s="364"/>
      <c r="Z5026" s="609" t="s">
        <v>4384</v>
      </c>
      <c r="AA5026" s="609"/>
    </row>
    <row r="5027" spans="1:27" ht="18">
      <c r="A5027" s="2714"/>
      <c r="B5027" s="371">
        <v>103</v>
      </c>
      <c r="C5027" s="371" t="s">
        <v>2791</v>
      </c>
      <c r="D5027" s="2716">
        <f t="shared" si="544"/>
        <v>1</v>
      </c>
      <c r="E5027" s="2721">
        <v>1</v>
      </c>
      <c r="F5027" s="294"/>
      <c r="G5027" s="2467" t="s">
        <v>6835</v>
      </c>
      <c r="H5027" s="2275">
        <v>40152.730000000003</v>
      </c>
      <c r="I5027" s="2296"/>
      <c r="J5027" s="291"/>
      <c r="K5027" s="291"/>
      <c r="L5027" s="291"/>
      <c r="M5027" s="291"/>
      <c r="S5027" s="364"/>
      <c r="Z5027" s="609" t="s">
        <v>4384</v>
      </c>
      <c r="AA5027" s="609"/>
    </row>
    <row r="5028" spans="1:27" ht="18">
      <c r="A5028" s="2714"/>
      <c r="B5028" s="371">
        <v>104</v>
      </c>
      <c r="C5028" s="371" t="s">
        <v>2791</v>
      </c>
      <c r="D5028" s="2716">
        <f t="shared" si="544"/>
        <v>1</v>
      </c>
      <c r="E5028" s="2721">
        <v>1</v>
      </c>
      <c r="F5028" s="294"/>
      <c r="G5028" s="2467" t="s">
        <v>6836</v>
      </c>
      <c r="H5028" s="2275">
        <v>48355.02</v>
      </c>
      <c r="I5028" s="2296"/>
      <c r="J5028" s="291"/>
      <c r="K5028" s="291"/>
      <c r="L5028" s="291"/>
      <c r="M5028" s="291"/>
      <c r="S5028" s="364"/>
      <c r="Z5028" s="609" t="s">
        <v>4384</v>
      </c>
      <c r="AA5028" s="609"/>
    </row>
    <row r="5029" spans="1:27" ht="18">
      <c r="A5029" s="2714"/>
      <c r="B5029" s="371">
        <v>105</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8">
      <c r="A5030" s="2714"/>
      <c r="B5030" s="371">
        <v>106</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107</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108</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
      <c r="A5033" s="2714"/>
      <c r="B5033" s="371">
        <v>109</v>
      </c>
      <c r="C5033" s="371" t="s">
        <v>2791</v>
      </c>
      <c r="D5033" s="2716">
        <f t="shared" si="544"/>
        <v>0</v>
      </c>
      <c r="E5033" s="2721">
        <v>1</v>
      </c>
      <c r="F5033" s="294"/>
      <c r="G5033" s="2467" t="s">
        <v>2792</v>
      </c>
      <c r="H5033" s="2275"/>
      <c r="I5033" s="2296"/>
      <c r="J5033" s="291"/>
      <c r="K5033" s="291"/>
      <c r="L5033" s="291"/>
      <c r="M5033" s="291"/>
      <c r="S5033" s="364"/>
      <c r="Z5033" s="609" t="s">
        <v>4384</v>
      </c>
      <c r="AA5033" s="609"/>
    </row>
    <row r="5034" spans="1:27" ht="18">
      <c r="A5034" s="2714"/>
      <c r="B5034" s="371">
        <v>110</v>
      </c>
      <c r="C5034" s="371" t="s">
        <v>2791</v>
      </c>
      <c r="D5034" s="2716">
        <f t="shared" si="544"/>
        <v>0</v>
      </c>
      <c r="E5034" s="2721">
        <v>1</v>
      </c>
      <c r="F5034" s="294"/>
      <c r="G5034" s="2467" t="s">
        <v>2792</v>
      </c>
      <c r="H5034" s="2275"/>
      <c r="I5034" s="2296"/>
      <c r="J5034" s="291"/>
      <c r="K5034" s="291"/>
      <c r="L5034" s="291"/>
      <c r="M5034" s="291"/>
      <c r="S5034" s="364"/>
      <c r="Z5034" s="609" t="s">
        <v>4384</v>
      </c>
      <c r="AA5034" s="609"/>
    </row>
    <row r="5035" spans="1:27" ht="18.75" thickBot="1">
      <c r="A5035" s="2714"/>
      <c r="B5035" s="371"/>
      <c r="C5035" s="371"/>
      <c r="D5035" s="2716">
        <f t="shared" si="544"/>
        <v>1</v>
      </c>
      <c r="E5035" s="2721" t="s">
        <v>2751</v>
      </c>
      <c r="F5035" s="294"/>
      <c r="G5035" s="2234" t="s">
        <v>2752</v>
      </c>
      <c r="H5035" s="2235">
        <f>SUMPRODUCT($E5024:$E5034,H5024:H5034)</f>
        <v>120871.54</v>
      </c>
      <c r="I5035" s="2236">
        <f>SUMPRODUCT($E5024:$E5034,I5024:I5034)</f>
        <v>0</v>
      </c>
      <c r="J5035" s="291"/>
      <c r="K5035" s="291"/>
      <c r="L5035" s="291"/>
      <c r="M5035" s="291"/>
      <c r="S5035" s="364"/>
      <c r="Z5035" s="609" t="s">
        <v>4384</v>
      </c>
      <c r="AA5035" s="609"/>
    </row>
    <row r="5036" spans="1:27" ht="18">
      <c r="A5036" s="2714"/>
      <c r="B5036" s="371"/>
      <c r="C5036" s="371" t="s">
        <v>2755</v>
      </c>
      <c r="D5036" s="371"/>
      <c r="F5036" s="294"/>
      <c r="G5036" s="301"/>
      <c r="H5036" s="315"/>
      <c r="I5036" s="315"/>
      <c r="J5036" s="291"/>
      <c r="K5036" s="291"/>
      <c r="L5036" s="291"/>
      <c r="M5036" s="291"/>
      <c r="O5036" s="290"/>
      <c r="S5036" s="364"/>
      <c r="Z5036" s="609" t="s">
        <v>4384</v>
      </c>
      <c r="AA5036" s="609"/>
    </row>
    <row r="5037" spans="1:27" ht="18">
      <c r="A5037" s="2714">
        <v>7096</v>
      </c>
      <c r="B5037" s="371">
        <v>78.2</v>
      </c>
      <c r="C5037" s="2716" t="str">
        <f>VLOOKUP($A5037,Sheet_Items,2,0)</f>
        <v>支付其他与经营活动有关的现金</v>
      </c>
      <c r="D5037" s="371"/>
      <c r="E5037" s="2716" t="s">
        <v>2739</v>
      </c>
      <c r="F5037" s="294"/>
      <c r="G5037" s="536" t="str">
        <f>B5037&amp;" "&amp;C5037</f>
        <v>78.2 支付其他与经营活动有关的现金</v>
      </c>
      <c r="H5037" s="322"/>
      <c r="I5037" s="322"/>
      <c r="J5037" s="306" t="s">
        <v>4206</v>
      </c>
      <c r="K5037" s="341">
        <f>VLOOKUP($A5037,Sheet_Trialbal,6,0)</f>
        <v>26330.27</v>
      </c>
      <c r="L5037" s="342"/>
      <c r="M5037" s="306" t="s">
        <v>4207</v>
      </c>
      <c r="N5037" s="341">
        <f>VLOOKUP($A5037,Sheet_Trialbal,10,0)</f>
        <v>1504600.6</v>
      </c>
      <c r="O5037" s="306"/>
      <c r="P5037" s="301"/>
      <c r="S5037" s="364"/>
      <c r="Z5037" s="609" t="s">
        <v>4386</v>
      </c>
      <c r="AA5037" s="609"/>
    </row>
    <row r="5038" spans="1:27" ht="24">
      <c r="A5038" s="2714" t="s">
        <v>1957</v>
      </c>
      <c r="B5038" s="371">
        <v>1</v>
      </c>
      <c r="C5038" s="371"/>
      <c r="D5038" s="2716" t="str">
        <f>VLOOKUP($A5038,Sheet_NoteList,2,0)</f>
        <v>支付的其他与经营活动有关的现金</v>
      </c>
      <c r="E5038" s="2716" t="s">
        <v>2742</v>
      </c>
      <c r="F5038" s="294"/>
      <c r="G5038" s="372" t="str">
        <f>"("&amp;B5038&amp;")"&amp;D5038</f>
        <v>(1)支付的其他与经营活动有关的现金</v>
      </c>
      <c r="H5038" s="1517" t="str">
        <f>$A5038</f>
        <v>7096a</v>
      </c>
      <c r="I5038" s="343" t="s">
        <v>2743</v>
      </c>
      <c r="J5038" s="301" t="s">
        <v>4256</v>
      </c>
      <c r="K5038" s="2210">
        <f>H5051</f>
        <v>26330.27</v>
      </c>
      <c r="L5038" s="1535">
        <f>IF($I5038="适用",IF(ROUND(K5037-K5038,2)&gt;=0,IF(K5037&lt;&gt;0,K5038/K5037,""),"#Logical!"),"#N/A")</f>
        <v>1</v>
      </c>
      <c r="M5038" s="301" t="s">
        <v>4257</v>
      </c>
      <c r="N5038" s="2210">
        <f>I5051</f>
        <v>0</v>
      </c>
      <c r="O5038" s="1535">
        <f>IF($I5038="适用",IF(ROUND(N5037-N5038,2)&gt;=0,IF(N5037&lt;&gt;0,N5038/N5037,""),"#Logical!"),"#N/A")</f>
        <v>0</v>
      </c>
      <c r="P5038" s="301"/>
      <c r="Q5038" s="290" t="str">
        <f>IF($I5038="不适用","",IF(ROUND(SUM($H$5041:$I$5051),2)=0,"请输入",""))</f>
        <v/>
      </c>
      <c r="S5038" s="364"/>
      <c r="Z5038" s="609" t="s">
        <v>4386</v>
      </c>
      <c r="AA5038" s="609"/>
    </row>
    <row r="5039" spans="1:27" ht="0.75" customHeight="1" thickBot="1">
      <c r="A5039" s="2714"/>
      <c r="B5039" s="371"/>
      <c r="C5039" s="371"/>
      <c r="D5039" s="371"/>
      <c r="E5039" s="586"/>
      <c r="F5039" s="363"/>
      <c r="G5039" s="363" t="s">
        <v>4387</v>
      </c>
      <c r="H5039" s="294" t="s">
        <v>4223</v>
      </c>
      <c r="I5039" s="294" t="s">
        <v>4224</v>
      </c>
      <c r="J5039" s="291"/>
      <c r="K5039" s="291"/>
      <c r="L5039" s="291"/>
      <c r="M5039" s="291"/>
      <c r="S5039" s="364"/>
      <c r="Z5039" s="609" t="s">
        <v>4386</v>
      </c>
      <c r="AA5039" s="609"/>
    </row>
    <row r="5040" spans="1:27" ht="18">
      <c r="A5040" s="2714"/>
      <c r="B5040" s="371"/>
      <c r="C5040" s="371"/>
      <c r="D5040" s="371"/>
      <c r="E5040" s="586" t="s">
        <v>2749</v>
      </c>
      <c r="F5040" s="363"/>
      <c r="G5040" s="2453" t="s">
        <v>47</v>
      </c>
      <c r="H5040" s="2461" t="str">
        <f>$V$4</f>
        <v>2019年度</v>
      </c>
      <c r="I5040" s="2462" t="str">
        <f>$V$5</f>
        <v>2018年度</v>
      </c>
      <c r="J5040" s="355" t="s">
        <v>5342</v>
      </c>
      <c r="K5040" s="291"/>
      <c r="L5040" s="291"/>
      <c r="M5040" s="291"/>
      <c r="S5040" s="364"/>
      <c r="Z5040" s="609" t="s">
        <v>4386</v>
      </c>
      <c r="AA5040" s="609"/>
    </row>
    <row r="5041" spans="1:27" ht="18">
      <c r="A5041" s="2714"/>
      <c r="B5041" s="371">
        <v>101</v>
      </c>
      <c r="C5041" s="371" t="s">
        <v>2791</v>
      </c>
      <c r="D5041" s="2716">
        <f t="shared" ref="D5041:D5051" si="545">IF(OR(G5041="*",G5041="",G5041=0),0,COUNTIF($G$5041:$G$5051,G5041))</f>
        <v>1</v>
      </c>
      <c r="E5041" s="2721">
        <v>1</v>
      </c>
      <c r="F5041" s="294"/>
      <c r="G5041" s="2467" t="s">
        <v>6837</v>
      </c>
      <c r="H5041" s="2275">
        <v>26330.27</v>
      </c>
      <c r="I5041" s="2296"/>
      <c r="J5041" s="291"/>
      <c r="K5041" s="291"/>
      <c r="L5041" s="291"/>
      <c r="M5041" s="291"/>
      <c r="S5041" s="364"/>
      <c r="Z5041" s="609" t="s">
        <v>4386</v>
      </c>
      <c r="AA5041" s="609"/>
    </row>
    <row r="5042" spans="1:27" ht="18">
      <c r="A5042" s="2714"/>
      <c r="B5042" s="371">
        <v>102</v>
      </c>
      <c r="C5042" s="371" t="s">
        <v>2791</v>
      </c>
      <c r="D5042" s="2716">
        <f t="shared" si="545"/>
        <v>0</v>
      </c>
      <c r="E5042" s="2721">
        <v>1</v>
      </c>
      <c r="F5042" s="294"/>
      <c r="G5042" s="2467"/>
      <c r="H5042" s="2275"/>
      <c r="I5042" s="2296"/>
      <c r="J5042" s="291"/>
      <c r="K5042" s="291"/>
      <c r="L5042" s="291"/>
      <c r="M5042" s="291"/>
      <c r="S5042" s="364"/>
      <c r="Z5042" s="609" t="s">
        <v>4386</v>
      </c>
      <c r="AA5042" s="609"/>
    </row>
    <row r="5043" spans="1:27" ht="18">
      <c r="A5043" s="2714"/>
      <c r="B5043" s="371">
        <v>103</v>
      </c>
      <c r="C5043" s="371" t="s">
        <v>2791</v>
      </c>
      <c r="D5043" s="2716">
        <f t="shared" si="545"/>
        <v>0</v>
      </c>
      <c r="E5043" s="2721">
        <v>1</v>
      </c>
      <c r="F5043" s="294"/>
      <c r="G5043" s="2467"/>
      <c r="H5043" s="2275"/>
      <c r="I5043" s="2296"/>
      <c r="J5043" s="291"/>
      <c r="K5043" s="291"/>
      <c r="L5043" s="291"/>
      <c r="M5043" s="291"/>
      <c r="S5043" s="364"/>
      <c r="Z5043" s="609" t="s">
        <v>4386</v>
      </c>
      <c r="AA5043" s="609"/>
    </row>
    <row r="5044" spans="1:27" ht="18">
      <c r="A5044" s="2714"/>
      <c r="B5044" s="371">
        <v>104</v>
      </c>
      <c r="C5044" s="371" t="s">
        <v>2791</v>
      </c>
      <c r="D5044" s="2716">
        <f t="shared" si="545"/>
        <v>0</v>
      </c>
      <c r="E5044" s="2721">
        <v>1</v>
      </c>
      <c r="F5044" s="294"/>
      <c r="G5044" s="2467"/>
      <c r="H5044" s="2275"/>
      <c r="I5044" s="2296"/>
      <c r="J5044" s="291"/>
      <c r="K5044" s="291"/>
      <c r="L5044" s="291"/>
      <c r="M5044" s="291"/>
      <c r="S5044" s="364"/>
      <c r="Z5044" s="609" t="s">
        <v>4386</v>
      </c>
      <c r="AA5044" s="609"/>
    </row>
    <row r="5045" spans="1:27" ht="18">
      <c r="A5045" s="2714"/>
      <c r="B5045" s="371">
        <v>105</v>
      </c>
      <c r="C5045" s="371" t="s">
        <v>2791</v>
      </c>
      <c r="D5045" s="2716">
        <f t="shared" si="545"/>
        <v>0</v>
      </c>
      <c r="E5045" s="2721">
        <v>1</v>
      </c>
      <c r="F5045" s="294"/>
      <c r="G5045" s="2467"/>
      <c r="H5045" s="2275"/>
      <c r="I5045" s="2296"/>
      <c r="J5045" s="291"/>
      <c r="K5045" s="291"/>
      <c r="L5045" s="291"/>
      <c r="M5045" s="291"/>
      <c r="S5045" s="364"/>
      <c r="Z5045" s="609" t="s">
        <v>4386</v>
      </c>
      <c r="AA5045" s="609"/>
    </row>
    <row r="5046" spans="1:27" ht="18">
      <c r="A5046" s="2714"/>
      <c r="B5046" s="371">
        <v>106</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107</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108</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
      <c r="A5049" s="2714"/>
      <c r="B5049" s="371">
        <v>109</v>
      </c>
      <c r="C5049" s="371" t="s">
        <v>2791</v>
      </c>
      <c r="D5049" s="2716">
        <f t="shared" si="545"/>
        <v>0</v>
      </c>
      <c r="E5049" s="2721">
        <v>1</v>
      </c>
      <c r="F5049" s="294"/>
      <c r="G5049" s="2467" t="s">
        <v>2792</v>
      </c>
      <c r="H5049" s="2275"/>
      <c r="I5049" s="2296"/>
      <c r="J5049" s="291"/>
      <c r="K5049" s="291"/>
      <c r="L5049" s="291"/>
      <c r="M5049" s="291"/>
      <c r="S5049" s="364"/>
      <c r="Z5049" s="609" t="s">
        <v>4386</v>
      </c>
      <c r="AA5049" s="609"/>
    </row>
    <row r="5050" spans="1:27" ht="18">
      <c r="A5050" s="2714"/>
      <c r="B5050" s="371">
        <v>110</v>
      </c>
      <c r="C5050" s="371" t="s">
        <v>2791</v>
      </c>
      <c r="D5050" s="2716">
        <f t="shared" si="545"/>
        <v>0</v>
      </c>
      <c r="E5050" s="2721">
        <v>1</v>
      </c>
      <c r="F5050" s="294"/>
      <c r="G5050" s="2467" t="s">
        <v>2792</v>
      </c>
      <c r="H5050" s="2275"/>
      <c r="I5050" s="2296"/>
      <c r="J5050" s="291"/>
      <c r="K5050" s="291"/>
      <c r="L5050" s="291"/>
      <c r="M5050" s="291"/>
      <c r="S5050" s="364"/>
      <c r="Z5050" s="609" t="s">
        <v>4386</v>
      </c>
      <c r="AA5050" s="609"/>
    </row>
    <row r="5051" spans="1:27" ht="18.75" thickBot="1">
      <c r="A5051" s="2714"/>
      <c r="B5051" s="371"/>
      <c r="C5051" s="371"/>
      <c r="D5051" s="2716">
        <f t="shared" si="545"/>
        <v>1</v>
      </c>
      <c r="E5051" s="2721" t="s">
        <v>2751</v>
      </c>
      <c r="F5051" s="294"/>
      <c r="G5051" s="2234" t="s">
        <v>2752</v>
      </c>
      <c r="H5051" s="2235">
        <f>SUMPRODUCT($E5040:$E5050,H5040:H5050)</f>
        <v>26330.27</v>
      </c>
      <c r="I5051" s="2236">
        <f>SUMPRODUCT($E5040:$E5050,I5040:I5050)</f>
        <v>0</v>
      </c>
      <c r="J5051" s="291"/>
      <c r="K5051" s="291"/>
      <c r="L5051" s="291"/>
      <c r="M5051" s="291"/>
      <c r="S5051" s="364"/>
      <c r="Z5051" s="609" t="s">
        <v>4386</v>
      </c>
      <c r="AA5051" s="609"/>
    </row>
    <row r="5052" spans="1:27" ht="18">
      <c r="A5052" s="2714"/>
      <c r="B5052" s="371"/>
      <c r="C5052" s="371" t="s">
        <v>2755</v>
      </c>
      <c r="D5052" s="371"/>
      <c r="F5052" s="294"/>
      <c r="G5052" s="301"/>
      <c r="H5052" s="315"/>
      <c r="I5052" s="315"/>
      <c r="J5052" s="291"/>
      <c r="K5052" s="291"/>
      <c r="L5052" s="291"/>
      <c r="M5052" s="291"/>
      <c r="S5052" s="364"/>
      <c r="Z5052" s="609" t="s">
        <v>4386</v>
      </c>
      <c r="AA5052" s="609"/>
    </row>
    <row r="5053" spans="1:27" ht="18">
      <c r="A5053" s="2714">
        <v>7146</v>
      </c>
      <c r="B5053" s="371">
        <v>78.3</v>
      </c>
      <c r="C5053" s="2716" t="str">
        <f>VLOOKUP($A5053,Sheet_Items,2,0)</f>
        <v>收到其他与投资活动有关的现金</v>
      </c>
      <c r="D5053" s="371"/>
      <c r="E5053" s="2716" t="s">
        <v>2739</v>
      </c>
      <c r="F5053" s="294"/>
      <c r="G5053" s="536" t="str">
        <f>B5053&amp;" "&amp;C5053</f>
        <v>78.3 收到其他与投资活动有关的现金</v>
      </c>
      <c r="H5053" s="322"/>
      <c r="I5053" s="322"/>
      <c r="J5053" s="306" t="s">
        <v>4206</v>
      </c>
      <c r="K5053" s="341">
        <f>VLOOKUP($A5053,Sheet_Trialbal,6,0)</f>
        <v>0</v>
      </c>
      <c r="L5053" s="342"/>
      <c r="M5053" s="306" t="s">
        <v>4207</v>
      </c>
      <c r="N5053" s="341">
        <f>VLOOKUP($A5053,Sheet_Trialbal,10,0)</f>
        <v>0</v>
      </c>
      <c r="O5053" s="306"/>
      <c r="P5053" s="301"/>
      <c r="S5053" s="364"/>
      <c r="Z5053" s="609" t="s">
        <v>4388</v>
      </c>
      <c r="AA5053" s="609"/>
    </row>
    <row r="5054" spans="1:27" ht="24">
      <c r="A5054" s="2714" t="s">
        <v>1971</v>
      </c>
      <c r="B5054" s="371">
        <v>1</v>
      </c>
      <c r="C5054" s="371"/>
      <c r="D5054" s="2716" t="str">
        <f>VLOOKUP($A5054,Sheet_NoteList,2,0)</f>
        <v>收到的其他与投资活动有关的现金</v>
      </c>
      <c r="E5054" s="2716" t="s">
        <v>2742</v>
      </c>
      <c r="F5054" s="294"/>
      <c r="G5054" s="372" t="str">
        <f>"("&amp;B5054&amp;")"&amp;D5054</f>
        <v>(1)收到的其他与投资活动有关的现金</v>
      </c>
      <c r="H5054" s="1517" t="str">
        <f>$A5054</f>
        <v>7146a</v>
      </c>
      <c r="I5054" s="343" t="s">
        <v>2743</v>
      </c>
      <c r="J5054" s="301" t="s">
        <v>4256</v>
      </c>
      <c r="K5054" s="2210">
        <f>H5062</f>
        <v>0</v>
      </c>
      <c r="L5054" s="1535" t="str">
        <f>IF($I5054="适用",IF(ROUND(K5053-K5054,2)&gt;=0,IF(K5053&lt;&gt;0,K5054/K5053,""),"#Logical!"),"#N/A")</f>
        <v/>
      </c>
      <c r="M5054" s="301" t="s">
        <v>4257</v>
      </c>
      <c r="N5054" s="2210">
        <f>I5062</f>
        <v>0</v>
      </c>
      <c r="O5054" s="1535" t="str">
        <f>IF($I5054="适用",IF(ROUND(N5053-N5054,2)&gt;=0,IF(N5053&lt;&gt;0,N5054/N5053,""),"#Logical!"),"#N/A")</f>
        <v/>
      </c>
      <c r="P5054" s="301"/>
      <c r="Q5054" s="290" t="str">
        <f>IF($I5054="不适用","",IF(ROUND(SUM($H$5057:$I$5062),2)=0,"请输入",""))</f>
        <v>请输入</v>
      </c>
      <c r="S5054" s="364"/>
      <c r="Z5054" s="609" t="s">
        <v>4388</v>
      </c>
      <c r="AA5054" s="609"/>
    </row>
    <row r="5055" spans="1:27" ht="0.75" customHeight="1" thickBot="1">
      <c r="A5055" s="2714"/>
      <c r="B5055" s="371"/>
      <c r="C5055" s="371"/>
      <c r="D5055" s="371"/>
      <c r="E5055" s="586"/>
      <c r="F5055" s="363"/>
      <c r="G5055" s="363" t="s">
        <v>4389</v>
      </c>
      <c r="H5055" s="294" t="s">
        <v>4223</v>
      </c>
      <c r="I5055" s="294" t="s">
        <v>4224</v>
      </c>
      <c r="J5055" s="291"/>
      <c r="K5055" s="291"/>
      <c r="L5055" s="291"/>
      <c r="M5055" s="291"/>
      <c r="S5055" s="364"/>
      <c r="Z5055" s="609" t="s">
        <v>4388</v>
      </c>
      <c r="AA5055" s="609"/>
    </row>
    <row r="5056" spans="1:27" ht="18">
      <c r="A5056" s="2714"/>
      <c r="B5056" s="371"/>
      <c r="C5056" s="371"/>
      <c r="D5056" s="371"/>
      <c r="E5056" s="586" t="s">
        <v>2749</v>
      </c>
      <c r="F5056" s="363"/>
      <c r="G5056" s="2453" t="s">
        <v>47</v>
      </c>
      <c r="H5056" s="2461" t="str">
        <f>$V$4</f>
        <v>2019年度</v>
      </c>
      <c r="I5056" s="2462" t="str">
        <f>$V$5</f>
        <v>2018年度</v>
      </c>
      <c r="J5056" s="355" t="s">
        <v>5342</v>
      </c>
      <c r="K5056" s="291"/>
      <c r="L5056" s="291"/>
      <c r="M5056" s="291"/>
      <c r="S5056" s="364"/>
      <c r="Z5056" s="609" t="s">
        <v>4388</v>
      </c>
      <c r="AA5056" s="609"/>
    </row>
    <row r="5057" spans="1:27" ht="18">
      <c r="A5057" s="2714"/>
      <c r="B5057" s="371">
        <v>101</v>
      </c>
      <c r="C5057" s="371" t="s">
        <v>2791</v>
      </c>
      <c r="D5057" s="2716">
        <f t="shared" ref="D5057:D5062" si="546">IF(OR(G5057="*",G5057="",G5057=0),0,COUNTIF($G$5057:$G$5062,G5057))</f>
        <v>0</v>
      </c>
      <c r="E5057" s="2721">
        <v>1</v>
      </c>
      <c r="F5057" s="294"/>
      <c r="G5057" s="2467"/>
      <c r="H5057" s="2275"/>
      <c r="I5057" s="2296"/>
      <c r="J5057" s="291"/>
      <c r="K5057" s="291"/>
      <c r="L5057" s="291"/>
      <c r="M5057" s="291"/>
      <c r="S5057" s="364"/>
      <c r="Z5057" s="609" t="s">
        <v>4388</v>
      </c>
      <c r="AA5057" s="609"/>
    </row>
    <row r="5058" spans="1:27" ht="18">
      <c r="A5058" s="2714"/>
      <c r="B5058" s="371">
        <v>102</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103</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
      <c r="A5060" s="2714"/>
      <c r="B5060" s="371">
        <v>104</v>
      </c>
      <c r="C5060" s="371" t="s">
        <v>2791</v>
      </c>
      <c r="D5060" s="2716">
        <f t="shared" si="546"/>
        <v>0</v>
      </c>
      <c r="E5060" s="2721">
        <v>1</v>
      </c>
      <c r="F5060" s="294"/>
      <c r="G5060" s="2467" t="s">
        <v>2792</v>
      </c>
      <c r="H5060" s="2275"/>
      <c r="I5060" s="2296"/>
      <c r="J5060" s="291"/>
      <c r="K5060" s="291"/>
      <c r="L5060" s="291"/>
      <c r="M5060" s="291"/>
      <c r="S5060" s="364"/>
      <c r="Z5060" s="609" t="s">
        <v>4388</v>
      </c>
      <c r="AA5060" s="609"/>
    </row>
    <row r="5061" spans="1:27" ht="18">
      <c r="A5061" s="2714"/>
      <c r="B5061" s="371">
        <v>105</v>
      </c>
      <c r="C5061" s="371" t="s">
        <v>2791</v>
      </c>
      <c r="D5061" s="2716">
        <f t="shared" si="546"/>
        <v>0</v>
      </c>
      <c r="E5061" s="2721">
        <v>1</v>
      </c>
      <c r="F5061" s="294"/>
      <c r="G5061" s="2467" t="s">
        <v>2792</v>
      </c>
      <c r="H5061" s="2275"/>
      <c r="I5061" s="2296"/>
      <c r="J5061" s="291"/>
      <c r="K5061" s="291"/>
      <c r="L5061" s="291"/>
      <c r="M5061" s="291"/>
      <c r="S5061" s="364"/>
      <c r="Z5061" s="609" t="s">
        <v>4388</v>
      </c>
      <c r="AA5061" s="609"/>
    </row>
    <row r="5062" spans="1:27" ht="18.75" thickBot="1">
      <c r="A5062" s="2714"/>
      <c r="B5062" s="371"/>
      <c r="C5062" s="371"/>
      <c r="D5062" s="2716">
        <f t="shared" si="546"/>
        <v>1</v>
      </c>
      <c r="E5062" s="2721" t="s">
        <v>2751</v>
      </c>
      <c r="F5062" s="294"/>
      <c r="G5062" s="2234" t="s">
        <v>2752</v>
      </c>
      <c r="H5062" s="2235">
        <f>SUMPRODUCT($E5056:$E5061,H5056:H5061)</f>
        <v>0</v>
      </c>
      <c r="I5062" s="2236">
        <f>SUMPRODUCT($E5056:$E5061,I5056:I5061)</f>
        <v>0</v>
      </c>
      <c r="J5062" s="291"/>
      <c r="K5062" s="291"/>
      <c r="L5062" s="291"/>
      <c r="M5062" s="291"/>
      <c r="S5062" s="364"/>
      <c r="Z5062" s="609" t="s">
        <v>4388</v>
      </c>
      <c r="AA5062" s="609"/>
    </row>
    <row r="5063" spans="1:27" ht="18">
      <c r="A5063" s="2714"/>
      <c r="B5063" s="371"/>
      <c r="C5063" s="371" t="s">
        <v>2755</v>
      </c>
      <c r="D5063" s="371"/>
      <c r="F5063" s="294"/>
      <c r="G5063" s="301"/>
      <c r="H5063" s="315"/>
      <c r="I5063" s="315"/>
      <c r="J5063" s="291"/>
      <c r="K5063" s="291"/>
      <c r="L5063" s="291"/>
      <c r="M5063" s="291"/>
      <c r="S5063" s="364"/>
      <c r="Z5063" s="609" t="s">
        <v>4388</v>
      </c>
      <c r="AA5063" s="609"/>
    </row>
    <row r="5064" spans="1:27" ht="18">
      <c r="A5064" s="2714">
        <v>7196</v>
      </c>
      <c r="B5064" s="371">
        <v>78.400000000000006</v>
      </c>
      <c r="C5064" s="2716" t="str">
        <f>VLOOKUP($A5064,Sheet_Items,2,0)</f>
        <v>支付其他与投资活动有关的现金</v>
      </c>
      <c r="D5064" s="371"/>
      <c r="E5064" s="2716" t="s">
        <v>2739</v>
      </c>
      <c r="F5064" s="294"/>
      <c r="G5064" s="536" t="str">
        <f>B5064&amp;" "&amp;C5064</f>
        <v>78.4 支付其他与投资活动有关的现金</v>
      </c>
      <c r="H5064" s="322"/>
      <c r="I5064" s="322"/>
      <c r="J5064" s="306" t="s">
        <v>4206</v>
      </c>
      <c r="K5064" s="341">
        <f>VLOOKUP($A5064,Sheet_Trialbal,6,0)</f>
        <v>0</v>
      </c>
      <c r="L5064" s="342"/>
      <c r="M5064" s="306" t="s">
        <v>4207</v>
      </c>
      <c r="N5064" s="341">
        <f>VLOOKUP($A5064,Sheet_Trialbal,10,0)</f>
        <v>0</v>
      </c>
      <c r="O5064" s="306"/>
      <c r="P5064" s="301"/>
      <c r="S5064" s="364"/>
      <c r="Z5064" s="609" t="s">
        <v>4390</v>
      </c>
      <c r="AA5064" s="609"/>
    </row>
    <row r="5065" spans="1:27" ht="24">
      <c r="A5065" s="2714" t="s">
        <v>1978</v>
      </c>
      <c r="B5065" s="371">
        <v>1</v>
      </c>
      <c r="C5065" s="371"/>
      <c r="D5065" s="2716" t="str">
        <f>VLOOKUP($A5065,Sheet_NoteList,2,0)</f>
        <v>支付的其他与投资活动有关的现金</v>
      </c>
      <c r="E5065" s="2716" t="s">
        <v>2742</v>
      </c>
      <c r="F5065" s="294"/>
      <c r="G5065" s="372" t="str">
        <f>"("&amp;B5065&amp;")"&amp;D5065</f>
        <v>(1)支付的其他与投资活动有关的现金</v>
      </c>
      <c r="H5065" s="1517" t="str">
        <f>$A5065</f>
        <v>7196a</v>
      </c>
      <c r="I5065" s="343" t="s">
        <v>2743</v>
      </c>
      <c r="J5065" s="301" t="s">
        <v>4256</v>
      </c>
      <c r="K5065" s="2210">
        <f>H5073</f>
        <v>0</v>
      </c>
      <c r="L5065" s="1535" t="str">
        <f>IF($I5065="适用",IF(ROUND(K5064-K5065,2)&gt;=0,IF(K5064&lt;&gt;0,K5065/K5064,""),"#Logical!"),"#N/A")</f>
        <v/>
      </c>
      <c r="M5065" s="301" t="s">
        <v>4257</v>
      </c>
      <c r="N5065" s="2210">
        <f>I5073</f>
        <v>0</v>
      </c>
      <c r="O5065" s="1535" t="str">
        <f>IF($I5065="适用",IF(ROUND(N5064-N5065,2)&gt;=0,IF(N5064&lt;&gt;0,N5065/N5064,""),"#Logical!"),"#N/A")</f>
        <v/>
      </c>
      <c r="P5065" s="301"/>
      <c r="Q5065" s="290" t="str">
        <f>IF($I5065="不适用","",IF(ROUND(SUM($H$5068:$I$5073),2)=0,"请输入",""))</f>
        <v>请输入</v>
      </c>
      <c r="S5065" s="364"/>
      <c r="Z5065" s="609" t="s">
        <v>4390</v>
      </c>
      <c r="AA5065" s="609"/>
    </row>
    <row r="5066" spans="1:27" ht="0.75" customHeight="1" thickBot="1">
      <c r="A5066" s="2714"/>
      <c r="B5066" s="371"/>
      <c r="C5066" s="371"/>
      <c r="D5066" s="371"/>
      <c r="E5066" s="586"/>
      <c r="F5066" s="363"/>
      <c r="G5066" s="363" t="s">
        <v>4391</v>
      </c>
      <c r="H5066" s="294" t="s">
        <v>4223</v>
      </c>
      <c r="I5066" s="294" t="s">
        <v>4224</v>
      </c>
      <c r="J5066" s="291"/>
      <c r="K5066" s="291"/>
      <c r="L5066" s="291"/>
      <c r="M5066" s="291"/>
      <c r="S5066" s="364"/>
      <c r="Z5066" s="609" t="s">
        <v>4390</v>
      </c>
      <c r="AA5066" s="609"/>
    </row>
    <row r="5067" spans="1:27" ht="18">
      <c r="A5067" s="2714"/>
      <c r="B5067" s="371"/>
      <c r="C5067" s="371"/>
      <c r="D5067" s="371"/>
      <c r="E5067" s="586" t="s">
        <v>2749</v>
      </c>
      <c r="F5067" s="363"/>
      <c r="G5067" s="2453" t="s">
        <v>47</v>
      </c>
      <c r="H5067" s="2461" t="str">
        <f>$V$4</f>
        <v>2019年度</v>
      </c>
      <c r="I5067" s="2462" t="str">
        <f>$V$5</f>
        <v>2018年度</v>
      </c>
      <c r="J5067" s="355" t="s">
        <v>5342</v>
      </c>
      <c r="K5067" s="291"/>
      <c r="L5067" s="291"/>
      <c r="M5067" s="291"/>
      <c r="S5067" s="364"/>
      <c r="Z5067" s="609" t="s">
        <v>4390</v>
      </c>
      <c r="AA5067" s="609"/>
    </row>
    <row r="5068" spans="1:27" ht="18">
      <c r="A5068" s="2714"/>
      <c r="B5068" s="371">
        <v>101</v>
      </c>
      <c r="C5068" s="371" t="s">
        <v>2791</v>
      </c>
      <c r="D5068" s="2716">
        <f t="shared" ref="D5068:D5073" si="547">IF(OR(G5068="*",G5068="",G5068=0),0,COUNTIF($G$5068:$G$5073,G5068))</f>
        <v>0</v>
      </c>
      <c r="E5068" s="2721">
        <v>1</v>
      </c>
      <c r="F5068" s="294"/>
      <c r="G5068" s="2467" t="s">
        <v>2792</v>
      </c>
      <c r="H5068" s="2275"/>
      <c r="I5068" s="2296"/>
      <c r="J5068" s="291"/>
      <c r="K5068" s="291"/>
      <c r="L5068" s="291"/>
      <c r="M5068" s="291"/>
      <c r="S5068" s="364"/>
      <c r="Z5068" s="609" t="s">
        <v>4390</v>
      </c>
      <c r="AA5068" s="609"/>
    </row>
    <row r="5069" spans="1:27" ht="18">
      <c r="A5069" s="2714"/>
      <c r="B5069" s="371">
        <v>102</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103</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
      <c r="A5071" s="2714"/>
      <c r="B5071" s="371">
        <v>104</v>
      </c>
      <c r="C5071" s="371" t="s">
        <v>2791</v>
      </c>
      <c r="D5071" s="2716">
        <f t="shared" si="547"/>
        <v>0</v>
      </c>
      <c r="E5071" s="2721">
        <v>1</v>
      </c>
      <c r="F5071" s="294"/>
      <c r="G5071" s="2467" t="s">
        <v>2792</v>
      </c>
      <c r="H5071" s="2275"/>
      <c r="I5071" s="2296"/>
      <c r="J5071" s="291"/>
      <c r="K5071" s="291"/>
      <c r="L5071" s="291"/>
      <c r="M5071" s="291"/>
      <c r="S5071" s="364"/>
      <c r="Z5071" s="609" t="s">
        <v>4390</v>
      </c>
      <c r="AA5071" s="609"/>
    </row>
    <row r="5072" spans="1:27" ht="18">
      <c r="A5072" s="2714"/>
      <c r="B5072" s="371">
        <v>105</v>
      </c>
      <c r="C5072" s="371" t="s">
        <v>2791</v>
      </c>
      <c r="D5072" s="2716">
        <f t="shared" si="547"/>
        <v>0</v>
      </c>
      <c r="E5072" s="2721">
        <v>1</v>
      </c>
      <c r="F5072" s="294"/>
      <c r="G5072" s="2467" t="s">
        <v>2792</v>
      </c>
      <c r="H5072" s="2275"/>
      <c r="I5072" s="2296"/>
      <c r="J5072" s="291"/>
      <c r="K5072" s="291"/>
      <c r="L5072" s="291"/>
      <c r="M5072" s="291"/>
      <c r="S5072" s="364"/>
      <c r="Z5072" s="609" t="s">
        <v>4390</v>
      </c>
      <c r="AA5072" s="609"/>
    </row>
    <row r="5073" spans="1:27" ht="18.75" thickBot="1">
      <c r="A5073" s="2714"/>
      <c r="B5073" s="371"/>
      <c r="C5073" s="371"/>
      <c r="D5073" s="2716">
        <f t="shared" si="547"/>
        <v>1</v>
      </c>
      <c r="E5073" s="2721" t="s">
        <v>2751</v>
      </c>
      <c r="F5073" s="294"/>
      <c r="G5073" s="2234" t="s">
        <v>2752</v>
      </c>
      <c r="H5073" s="2235">
        <f>SUMPRODUCT($E5067:$E5072,H5067:H5072)</f>
        <v>0</v>
      </c>
      <c r="I5073" s="2236">
        <f>SUMPRODUCT($E5067:$E5072,I5067:I5072)</f>
        <v>0</v>
      </c>
      <c r="J5073" s="291"/>
      <c r="K5073" s="291"/>
      <c r="L5073" s="291"/>
      <c r="M5073" s="291"/>
      <c r="S5073" s="364"/>
      <c r="Z5073" s="609" t="s">
        <v>4390</v>
      </c>
      <c r="AA5073" s="609"/>
    </row>
    <row r="5074" spans="1:27" ht="18">
      <c r="A5074" s="2714"/>
      <c r="B5074" s="371"/>
      <c r="C5074" s="371" t="s">
        <v>2755</v>
      </c>
      <c r="D5074" s="371"/>
      <c r="F5074" s="294"/>
      <c r="G5074" s="301"/>
      <c r="H5074" s="315"/>
      <c r="I5074" s="315"/>
      <c r="J5074" s="291"/>
      <c r="K5074" s="291"/>
      <c r="L5074" s="291"/>
      <c r="M5074" s="291"/>
      <c r="S5074" s="364"/>
      <c r="Z5074" s="609" t="s">
        <v>4390</v>
      </c>
      <c r="AA5074" s="609"/>
    </row>
    <row r="5075" spans="1:27" ht="18">
      <c r="A5075" s="2714">
        <v>7246</v>
      </c>
      <c r="B5075" s="371">
        <v>78.5</v>
      </c>
      <c r="C5075" s="2716" t="str">
        <f>VLOOKUP($A5075,Sheet_Items,2,0)</f>
        <v>收到其他与筹资活动有关的现金</v>
      </c>
      <c r="D5075" s="371"/>
      <c r="E5075" s="2716" t="s">
        <v>2739</v>
      </c>
      <c r="F5075" s="294"/>
      <c r="G5075" s="536" t="str">
        <f>B5075&amp;" "&amp;C5075</f>
        <v>78.5 收到其他与筹资活动有关的现金</v>
      </c>
      <c r="H5075" s="322"/>
      <c r="I5075" s="322"/>
      <c r="J5075" s="306" t="s">
        <v>4206</v>
      </c>
      <c r="K5075" s="341">
        <f>VLOOKUP($A5075,Sheet_Trialbal,6,0)</f>
        <v>0</v>
      </c>
      <c r="L5075" s="342"/>
      <c r="M5075" s="306" t="s">
        <v>4207</v>
      </c>
      <c r="N5075" s="341">
        <f>VLOOKUP($A5075,Sheet_Trialbal,10,0)</f>
        <v>1194580.43</v>
      </c>
      <c r="O5075" s="306"/>
      <c r="P5075" s="301"/>
      <c r="S5075" s="364"/>
      <c r="Z5075" s="609" t="s">
        <v>4392</v>
      </c>
      <c r="AA5075" s="609"/>
    </row>
    <row r="5076" spans="1:27" ht="24">
      <c r="A5076" s="2714" t="s">
        <v>1983</v>
      </c>
      <c r="B5076" s="371">
        <v>1</v>
      </c>
      <c r="C5076" s="371"/>
      <c r="D5076" s="2716" t="str">
        <f>VLOOKUP($A5076,Sheet_NoteList,2,0)</f>
        <v>收到的其他与筹资活动有关的现金</v>
      </c>
      <c r="E5076" s="2716" t="s">
        <v>2742</v>
      </c>
      <c r="F5076" s="294"/>
      <c r="G5076" s="372" t="str">
        <f>"("&amp;B5076&amp;")"&amp;D5076</f>
        <v>(1)收到的其他与筹资活动有关的现金</v>
      </c>
      <c r="H5076" s="1517" t="str">
        <f>$A5076</f>
        <v>7246a</v>
      </c>
      <c r="I5076" s="343" t="s">
        <v>2743</v>
      </c>
      <c r="J5076" s="301" t="s">
        <v>4256</v>
      </c>
      <c r="K5076" s="2210">
        <f>H5084</f>
        <v>0</v>
      </c>
      <c r="L5076" s="1535" t="str">
        <f>IF($I5076="适用",IF(ROUND(K5075-K5076,2)&gt;=0,IF(K5075&lt;&gt;0,K5076/K5075,""),"#Logical!"),"#N/A")</f>
        <v/>
      </c>
      <c r="M5076" s="301" t="s">
        <v>4257</v>
      </c>
      <c r="N5076" s="2210">
        <f>I5084</f>
        <v>0</v>
      </c>
      <c r="O5076" s="1535">
        <f>IF($I5076="适用",IF(ROUND(N5075-N5076,2)&gt;=0,IF(N5075&lt;&gt;0,N5076/N5075,""),"#Logical!"),"#N/A")</f>
        <v>0</v>
      </c>
      <c r="P5076" s="301"/>
      <c r="Q5076" s="290" t="str">
        <f>IF($I5076="不适用","",IF(ROUND(SUM($H$5079:$I$5084),2)=0,"请输入",""))</f>
        <v>请输入</v>
      </c>
      <c r="S5076" s="364"/>
      <c r="Z5076" s="609" t="s">
        <v>4392</v>
      </c>
      <c r="AA5076" s="609"/>
    </row>
    <row r="5077" spans="1:27" ht="0.75" customHeight="1" thickBot="1">
      <c r="A5077" s="2714"/>
      <c r="B5077" s="371"/>
      <c r="C5077" s="371"/>
      <c r="D5077" s="371"/>
      <c r="E5077" s="586"/>
      <c r="F5077" s="363"/>
      <c r="G5077" s="363" t="s">
        <v>4393</v>
      </c>
      <c r="H5077" s="294" t="s">
        <v>4223</v>
      </c>
      <c r="I5077" s="294" t="s">
        <v>4224</v>
      </c>
      <c r="J5077" s="291"/>
      <c r="K5077" s="291"/>
      <c r="L5077" s="291"/>
      <c r="M5077" s="291"/>
      <c r="S5077" s="364"/>
      <c r="Z5077" s="609" t="s">
        <v>4392</v>
      </c>
      <c r="AA5077" s="609"/>
    </row>
    <row r="5078" spans="1:27" ht="18">
      <c r="A5078" s="2714"/>
      <c r="B5078" s="371"/>
      <c r="C5078" s="371"/>
      <c r="D5078" s="371"/>
      <c r="E5078" s="586" t="s">
        <v>2749</v>
      </c>
      <c r="F5078" s="363"/>
      <c r="G5078" s="2453" t="s">
        <v>47</v>
      </c>
      <c r="H5078" s="2461" t="str">
        <f>$V$4</f>
        <v>2019年度</v>
      </c>
      <c r="I5078" s="2462" t="str">
        <f>$V$5</f>
        <v>2018年度</v>
      </c>
      <c r="J5078" s="355" t="s">
        <v>5342</v>
      </c>
      <c r="K5078" s="291"/>
      <c r="L5078" s="291"/>
      <c r="M5078" s="291"/>
      <c r="S5078" s="364"/>
      <c r="Z5078" s="609" t="s">
        <v>4392</v>
      </c>
      <c r="AA5078" s="609"/>
    </row>
    <row r="5079" spans="1:27" ht="18">
      <c r="A5079" s="2714"/>
      <c r="B5079" s="371">
        <v>101</v>
      </c>
      <c r="C5079" s="371" t="s">
        <v>2791</v>
      </c>
      <c r="D5079" s="2716">
        <f t="shared" ref="D5079:D5084" si="548">IF(OR(G5079="*",G5079="",G5079=0),0,COUNTIF($G$5079:$G$5084,G5079))</f>
        <v>0</v>
      </c>
      <c r="E5079" s="2721">
        <v>1</v>
      </c>
      <c r="F5079" s="294"/>
      <c r="G5079" s="2467" t="s">
        <v>2792</v>
      </c>
      <c r="H5079" s="2275"/>
      <c r="I5079" s="2296"/>
      <c r="J5079" s="291"/>
      <c r="K5079" s="291"/>
      <c r="L5079" s="291"/>
      <c r="M5079" s="291"/>
      <c r="S5079" s="364"/>
      <c r="Z5079" s="609" t="s">
        <v>4392</v>
      </c>
      <c r="AA5079" s="609"/>
    </row>
    <row r="5080" spans="1:27" ht="18">
      <c r="A5080" s="2714"/>
      <c r="B5080" s="371">
        <v>102</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103</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
      <c r="A5082" s="2714"/>
      <c r="B5082" s="371">
        <v>104</v>
      </c>
      <c r="C5082" s="371" t="s">
        <v>2791</v>
      </c>
      <c r="D5082" s="2716">
        <f t="shared" si="548"/>
        <v>0</v>
      </c>
      <c r="E5082" s="2721">
        <v>1</v>
      </c>
      <c r="F5082" s="294"/>
      <c r="G5082" s="2467" t="s">
        <v>2792</v>
      </c>
      <c r="H5082" s="2275"/>
      <c r="I5082" s="2296"/>
      <c r="J5082" s="291"/>
      <c r="K5082" s="291"/>
      <c r="L5082" s="291"/>
      <c r="M5082" s="291"/>
      <c r="S5082" s="364"/>
      <c r="Z5082" s="609" t="s">
        <v>4392</v>
      </c>
      <c r="AA5082" s="609"/>
    </row>
    <row r="5083" spans="1:27" ht="18">
      <c r="A5083" s="2714"/>
      <c r="B5083" s="371">
        <v>105</v>
      </c>
      <c r="C5083" s="371" t="s">
        <v>2791</v>
      </c>
      <c r="D5083" s="2716">
        <f t="shared" si="548"/>
        <v>0</v>
      </c>
      <c r="E5083" s="2721">
        <v>1</v>
      </c>
      <c r="F5083" s="294"/>
      <c r="G5083" s="2467" t="s">
        <v>2792</v>
      </c>
      <c r="H5083" s="2275"/>
      <c r="I5083" s="2296"/>
      <c r="J5083" s="291"/>
      <c r="K5083" s="291"/>
      <c r="L5083" s="291"/>
      <c r="M5083" s="291"/>
      <c r="S5083" s="364"/>
      <c r="Z5083" s="609" t="s">
        <v>4392</v>
      </c>
      <c r="AA5083" s="609"/>
    </row>
    <row r="5084" spans="1:27" ht="18.75" thickBot="1">
      <c r="A5084" s="2714"/>
      <c r="B5084" s="371"/>
      <c r="C5084" s="371"/>
      <c r="D5084" s="2716">
        <f t="shared" si="548"/>
        <v>1</v>
      </c>
      <c r="E5084" s="2721" t="s">
        <v>2751</v>
      </c>
      <c r="F5084" s="294"/>
      <c r="G5084" s="2234" t="s">
        <v>2752</v>
      </c>
      <c r="H5084" s="2235">
        <f>SUMPRODUCT($E5078:$E5083,H5078:H5083)</f>
        <v>0</v>
      </c>
      <c r="I5084" s="2236">
        <f>SUMPRODUCT($E5078:$E5083,I5078:I5083)</f>
        <v>0</v>
      </c>
      <c r="J5084" s="291"/>
      <c r="K5084" s="291"/>
      <c r="L5084" s="291"/>
      <c r="M5084" s="291"/>
      <c r="S5084" s="364"/>
      <c r="Z5084" s="609" t="s">
        <v>4392</v>
      </c>
      <c r="AA5084" s="609"/>
    </row>
    <row r="5085" spans="1:27" ht="18">
      <c r="A5085" s="2714"/>
      <c r="B5085" s="371"/>
      <c r="C5085" s="371" t="s">
        <v>2755</v>
      </c>
      <c r="D5085" s="371"/>
      <c r="F5085" s="294"/>
      <c r="G5085" s="301"/>
      <c r="H5085" s="315"/>
      <c r="I5085" s="315"/>
      <c r="J5085" s="291"/>
      <c r="K5085" s="291"/>
      <c r="L5085" s="291"/>
      <c r="M5085" s="291"/>
      <c r="S5085" s="364"/>
      <c r="Z5085" s="609" t="s">
        <v>4392</v>
      </c>
      <c r="AA5085" s="609"/>
    </row>
    <row r="5086" spans="1:27" ht="18">
      <c r="A5086" s="2714">
        <v>7296</v>
      </c>
      <c r="B5086" s="371">
        <v>78.599999999999994</v>
      </c>
      <c r="C5086" s="2716" t="str">
        <f>VLOOKUP($A5086,Sheet_Items,2,0)</f>
        <v>支付其他与筹资活动有关的现金</v>
      </c>
      <c r="D5086" s="371"/>
      <c r="E5086" s="2716" t="s">
        <v>2739</v>
      </c>
      <c r="F5086" s="294"/>
      <c r="G5086" s="536" t="str">
        <f>B5086&amp;" "&amp;C5086</f>
        <v>78.6 支付其他与筹资活动有关的现金</v>
      </c>
      <c r="H5086" s="322"/>
      <c r="I5086" s="322"/>
      <c r="J5086" s="306" t="s">
        <v>4206</v>
      </c>
      <c r="K5086" s="341">
        <f>VLOOKUP($A5086,Sheet_Trialbal,6,0)</f>
        <v>738000</v>
      </c>
      <c r="L5086" s="342"/>
      <c r="M5086" s="306" t="s">
        <v>4207</v>
      </c>
      <c r="N5086" s="341">
        <f>VLOOKUP($A5086,Sheet_Trialbal,10,0)</f>
        <v>0</v>
      </c>
      <c r="O5086" s="306"/>
      <c r="P5086" s="301"/>
      <c r="S5086" s="364"/>
      <c r="Z5086" s="609" t="s">
        <v>4394</v>
      </c>
      <c r="AA5086" s="609"/>
    </row>
    <row r="5087" spans="1:27" ht="24">
      <c r="A5087" s="2714" t="s">
        <v>1990</v>
      </c>
      <c r="B5087" s="371">
        <v>1</v>
      </c>
      <c r="C5087" s="371"/>
      <c r="D5087" s="2716" t="str">
        <f>VLOOKUP($A5087,Sheet_NoteList,2,0)</f>
        <v>支付的其他与筹资活动有关的现金</v>
      </c>
      <c r="E5087" s="2716" t="s">
        <v>2742</v>
      </c>
      <c r="F5087" s="294"/>
      <c r="G5087" s="372" t="str">
        <f>"("&amp;B5087&amp;")"&amp;D5087</f>
        <v>(1)支付的其他与筹资活动有关的现金</v>
      </c>
      <c r="H5087" s="1517" t="str">
        <f>$A5087</f>
        <v>7296a</v>
      </c>
      <c r="I5087" s="343" t="s">
        <v>2743</v>
      </c>
      <c r="J5087" s="301" t="s">
        <v>4256</v>
      </c>
      <c r="K5087" s="2210">
        <f>H5095</f>
        <v>738000</v>
      </c>
      <c r="L5087" s="1535">
        <f>IF($I5087="适用",IF(ROUND(K5086-K5087,2)&gt;=0,IF(K5086&lt;&gt;0,K5087/K5086,""),"#Logical!"),"#N/A")</f>
        <v>1</v>
      </c>
      <c r="M5087" s="301" t="s">
        <v>4257</v>
      </c>
      <c r="N5087" s="2210">
        <f>I5095</f>
        <v>0</v>
      </c>
      <c r="O5087" s="1535" t="str">
        <f>IF($I5087="适用",IF(ROUND(N5086-N5087,2)&gt;=0,IF(N5086&lt;&gt;0,N5087/N5086,""),"#Logical!"),"#N/A")</f>
        <v/>
      </c>
      <c r="P5087" s="301"/>
      <c r="Q5087" s="290" t="str">
        <f>IF($I5087="不适用","",IF(ROUND(SUM($H$5090:$I$5095),2)=0,"请输入",""))</f>
        <v/>
      </c>
      <c r="S5087" s="364"/>
      <c r="Z5087" s="609" t="s">
        <v>4394</v>
      </c>
      <c r="AA5087" s="609"/>
    </row>
    <row r="5088" spans="1:27" ht="0.75" customHeight="1" thickBot="1">
      <c r="A5088" s="2714"/>
      <c r="B5088" s="371"/>
      <c r="C5088" s="371"/>
      <c r="D5088" s="371"/>
      <c r="E5088" s="586"/>
      <c r="F5088" s="363"/>
      <c r="G5088" s="363" t="s">
        <v>4395</v>
      </c>
      <c r="H5088" s="294" t="s">
        <v>4223</v>
      </c>
      <c r="I5088" s="294" t="s">
        <v>4224</v>
      </c>
      <c r="J5088" s="291"/>
      <c r="K5088" s="291"/>
      <c r="L5088" s="291"/>
      <c r="M5088" s="291"/>
      <c r="S5088" s="364"/>
      <c r="Z5088" s="609" t="s">
        <v>4394</v>
      </c>
      <c r="AA5088" s="609"/>
    </row>
    <row r="5089" spans="1:27" ht="18">
      <c r="A5089" s="2714"/>
      <c r="B5089" s="371"/>
      <c r="C5089" s="371"/>
      <c r="D5089" s="371"/>
      <c r="E5089" s="586" t="s">
        <v>2749</v>
      </c>
      <c r="F5089" s="363"/>
      <c r="G5089" s="2453" t="s">
        <v>47</v>
      </c>
      <c r="H5089" s="2461" t="str">
        <f>$V$4</f>
        <v>2019年度</v>
      </c>
      <c r="I5089" s="2462" t="str">
        <f>$V$5</f>
        <v>2018年度</v>
      </c>
      <c r="J5089" s="355" t="s">
        <v>5342</v>
      </c>
      <c r="K5089" s="291"/>
      <c r="L5089" s="291"/>
      <c r="M5089" s="291"/>
      <c r="S5089" s="364"/>
      <c r="Z5089" s="609" t="s">
        <v>4394</v>
      </c>
      <c r="AA5089" s="609"/>
    </row>
    <row r="5090" spans="1:27" ht="18">
      <c r="A5090" s="2714"/>
      <c r="B5090" s="371">
        <v>101</v>
      </c>
      <c r="C5090" s="371" t="s">
        <v>2791</v>
      </c>
      <c r="D5090" s="2716">
        <f t="shared" ref="D5090:D5095" si="549">IF(OR(G5090="*",G5090="",G5090=0),0,COUNTIF($G$5090:$G$5095,G5090))</f>
        <v>1</v>
      </c>
      <c r="E5090" s="2721">
        <v>1</v>
      </c>
      <c r="F5090" s="294"/>
      <c r="G5090" s="2467" t="s">
        <v>6838</v>
      </c>
      <c r="H5090" s="2275">
        <v>738000</v>
      </c>
      <c r="I5090" s="2296"/>
      <c r="J5090" s="291"/>
      <c r="K5090" s="291"/>
      <c r="L5090" s="291"/>
      <c r="M5090" s="291"/>
      <c r="S5090" s="364"/>
      <c r="Z5090" s="609" t="s">
        <v>4394</v>
      </c>
      <c r="AA5090" s="609"/>
    </row>
    <row r="5091" spans="1:27" ht="18">
      <c r="A5091" s="2714"/>
      <c r="B5091" s="371">
        <v>102</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103</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
      <c r="A5093" s="2714"/>
      <c r="B5093" s="371">
        <v>104</v>
      </c>
      <c r="C5093" s="371" t="s">
        <v>2791</v>
      </c>
      <c r="D5093" s="2716">
        <f t="shared" si="549"/>
        <v>0</v>
      </c>
      <c r="E5093" s="2721">
        <v>1</v>
      </c>
      <c r="F5093" s="294"/>
      <c r="G5093" s="2467" t="s">
        <v>2792</v>
      </c>
      <c r="H5093" s="2275"/>
      <c r="I5093" s="2296"/>
      <c r="J5093" s="291"/>
      <c r="K5093" s="291"/>
      <c r="L5093" s="291"/>
      <c r="M5093" s="291"/>
      <c r="S5093" s="364"/>
      <c r="Z5093" s="609" t="s">
        <v>4394</v>
      </c>
      <c r="AA5093" s="609"/>
    </row>
    <row r="5094" spans="1:27" ht="18">
      <c r="A5094" s="2714"/>
      <c r="B5094" s="371">
        <v>105</v>
      </c>
      <c r="C5094" s="371" t="s">
        <v>2791</v>
      </c>
      <c r="D5094" s="2716">
        <f t="shared" si="549"/>
        <v>0</v>
      </c>
      <c r="E5094" s="2721">
        <v>1</v>
      </c>
      <c r="F5094" s="294"/>
      <c r="G5094" s="2467" t="s">
        <v>2792</v>
      </c>
      <c r="H5094" s="2275"/>
      <c r="I5094" s="2296"/>
      <c r="J5094" s="291"/>
      <c r="K5094" s="291"/>
      <c r="L5094" s="291"/>
      <c r="M5094" s="291"/>
      <c r="S5094" s="364"/>
      <c r="Z5094" s="609" t="s">
        <v>4394</v>
      </c>
      <c r="AA5094" s="609"/>
    </row>
    <row r="5095" spans="1:27" ht="18.75" thickBot="1">
      <c r="A5095" s="2714"/>
      <c r="B5095" s="371"/>
      <c r="C5095" s="371"/>
      <c r="D5095" s="2716">
        <f t="shared" si="549"/>
        <v>1</v>
      </c>
      <c r="E5095" s="2721" t="s">
        <v>2751</v>
      </c>
      <c r="F5095" s="294"/>
      <c r="G5095" s="2234" t="s">
        <v>2752</v>
      </c>
      <c r="H5095" s="2235">
        <f>SUMPRODUCT($E5089:$E5094,H5089:H5094)</f>
        <v>738000</v>
      </c>
      <c r="I5095" s="2236">
        <f>SUMPRODUCT($E5089:$E5094,I5089:I5094)</f>
        <v>0</v>
      </c>
      <c r="J5095" s="291"/>
      <c r="K5095" s="291"/>
      <c r="L5095" s="291"/>
      <c r="M5095" s="291"/>
      <c r="S5095" s="364"/>
      <c r="Z5095" s="609" t="s">
        <v>4394</v>
      </c>
      <c r="AA5095" s="609"/>
    </row>
    <row r="5096" spans="1:27" ht="18">
      <c r="A5096" s="2714"/>
      <c r="B5096" s="371"/>
      <c r="C5096" s="371" t="s">
        <v>2755</v>
      </c>
      <c r="D5096" s="371"/>
      <c r="F5096" s="294"/>
      <c r="G5096" s="301"/>
      <c r="H5096" s="315"/>
      <c r="I5096" s="315"/>
      <c r="J5096" s="291"/>
      <c r="K5096" s="291"/>
      <c r="L5096" s="291"/>
      <c r="M5096" s="291"/>
      <c r="S5096" s="364"/>
      <c r="Z5096" s="609" t="s">
        <v>4394</v>
      </c>
      <c r="AA5096" s="609"/>
    </row>
    <row r="5097" spans="1:27" ht="18">
      <c r="A5097" s="2714">
        <v>7500</v>
      </c>
      <c r="B5097" s="371">
        <v>79</v>
      </c>
      <c r="C5097" s="2716" t="str">
        <f>VLOOKUP($A5097,Sheet_Items,2,0)</f>
        <v>现金流量表补充资料</v>
      </c>
      <c r="D5097" s="371"/>
      <c r="E5097" s="2716" t="s">
        <v>2739</v>
      </c>
      <c r="F5097" s="294"/>
      <c r="G5097" s="305" t="str">
        <f>B5097&amp;" "&amp;C5097</f>
        <v>79 现金流量表补充资料</v>
      </c>
      <c r="H5097" s="306"/>
      <c r="I5097" s="306"/>
      <c r="J5097" s="306"/>
      <c r="K5097" s="539"/>
      <c r="L5097" s="342"/>
      <c r="M5097" s="306"/>
      <c r="N5097" s="539"/>
      <c r="O5097" s="306"/>
      <c r="P5097" s="301"/>
      <c r="S5097" s="364"/>
      <c r="Z5097" s="609" t="s">
        <v>1995</v>
      </c>
      <c r="AA5097" s="609"/>
    </row>
    <row r="5098" spans="1:27" ht="24">
      <c r="A5098" s="2714" t="s">
        <v>1993</v>
      </c>
      <c r="B5098" s="371">
        <v>1</v>
      </c>
      <c r="C5098" s="371"/>
      <c r="D5098" s="2716" t="str">
        <f>VLOOKUP($A5098,Sheet_NoteList,2,0)</f>
        <v>将净利润调节为经营活动现金流量</v>
      </c>
      <c r="E5098" s="2716" t="s">
        <v>2742</v>
      </c>
      <c r="F5098" s="294"/>
      <c r="G5098" s="372" t="str">
        <f>"("&amp;B5098&amp;")"&amp;D5098</f>
        <v>(1)将净利润调节为经营活动现金流量</v>
      </c>
      <c r="H5098" s="1517" t="str">
        <f>$A5098</f>
        <v>7500a</v>
      </c>
      <c r="I5098" s="343" t="s">
        <v>2743</v>
      </c>
      <c r="J5098" s="301"/>
      <c r="K5098" s="3081"/>
      <c r="L5098" s="315"/>
      <c r="M5098" s="301"/>
      <c r="N5098" s="3081"/>
      <c r="O5098" s="315"/>
      <c r="P5098" s="301"/>
      <c r="Q5098" s="290" t="str">
        <f>IF($I5098="不适用","",IF(ROUND(SUM($H$5101:$I$5118),2)=0,"请输入",""))</f>
        <v/>
      </c>
      <c r="S5098" s="364"/>
      <c r="Z5098" s="609" t="s">
        <v>1995</v>
      </c>
      <c r="AA5098" s="609"/>
    </row>
    <row r="5099" spans="1:27" ht="0.75" customHeight="1" thickBot="1">
      <c r="A5099" s="2714"/>
      <c r="B5099" s="371"/>
      <c r="C5099" s="371"/>
      <c r="D5099" s="371"/>
      <c r="F5099" s="371" t="s">
        <v>5812</v>
      </c>
      <c r="G5099" s="371" t="s">
        <v>4396</v>
      </c>
      <c r="H5099" s="371" t="s">
        <v>3472</v>
      </c>
      <c r="I5099" s="371" t="s">
        <v>3473</v>
      </c>
      <c r="J5099" s="291"/>
      <c r="K5099" s="291"/>
      <c r="L5099" s="291"/>
      <c r="M5099" s="291"/>
      <c r="S5099" s="364"/>
      <c r="Z5099" s="609" t="s">
        <v>1995</v>
      </c>
      <c r="AA5099" s="609"/>
    </row>
    <row r="5100" spans="1:27" ht="18">
      <c r="A5100" s="2714"/>
      <c r="B5100" s="371"/>
      <c r="C5100" s="371"/>
      <c r="D5100" s="371"/>
      <c r="E5100" s="2716" t="s">
        <v>2749</v>
      </c>
      <c r="F5100" s="294"/>
      <c r="G5100" s="1503" t="s">
        <v>918</v>
      </c>
      <c r="H5100" s="1501" t="str">
        <f>$V$4</f>
        <v>2019年度</v>
      </c>
      <c r="I5100" s="593" t="str">
        <f>$V$5</f>
        <v>2018年度</v>
      </c>
      <c r="J5100" s="355" t="s">
        <v>5343</v>
      </c>
      <c r="K5100" s="291"/>
      <c r="L5100" s="291"/>
      <c r="M5100" s="291"/>
      <c r="S5100" s="364"/>
      <c r="Z5100" s="609" t="s">
        <v>1995</v>
      </c>
      <c r="AA5100" s="609"/>
    </row>
    <row r="5101" spans="1:27" ht="18">
      <c r="A5101" s="2714"/>
      <c r="B5101" s="371">
        <v>7502</v>
      </c>
      <c r="C5101" s="371"/>
      <c r="D5101" s="2716">
        <f t="shared" ref="D5101:D5118" si="550">IF(OR(G5101="*",G5101="",G5101=0),0,COUNTIF($G$5101:$G$5118,G5101))</f>
        <v>1</v>
      </c>
      <c r="E5101" s="2721">
        <v>1</v>
      </c>
      <c r="F5101" s="294"/>
      <c r="G5101" s="1502" t="str">
        <f t="shared" ref="G5101:G5117" si="551">VLOOKUP($B5101,Sheet_Items,6,0)</f>
        <v>净利润</v>
      </c>
      <c r="H5101" s="1476">
        <f t="shared" ref="H5101:H5117" si="552">VLOOKUP($B5101,Sheet_CF7,4,0)</f>
        <v>1747379.72</v>
      </c>
      <c r="I5101" s="1477">
        <f t="shared" ref="I5101:I5117" si="553">VLOOKUP($B5101,Sheet_CF7,5,0)</f>
        <v>5463681.9299999997</v>
      </c>
      <c r="J5101" s="291"/>
      <c r="K5101" s="291"/>
      <c r="L5101" s="291"/>
      <c r="M5101" s="291"/>
      <c r="S5101" s="364"/>
      <c r="Z5101" s="609" t="s">
        <v>1995</v>
      </c>
      <c r="AA5101" s="609"/>
    </row>
    <row r="5102" spans="1:27" ht="18">
      <c r="A5102" s="2714"/>
      <c r="B5102" s="371">
        <v>7503</v>
      </c>
      <c r="C5102" s="371"/>
      <c r="D5102" s="2716">
        <f t="shared" si="550"/>
        <v>1</v>
      </c>
      <c r="E5102" s="2721">
        <v>1</v>
      </c>
      <c r="F5102" s="294"/>
      <c r="G5102" s="1502" t="str">
        <f>VLOOKUP($B5102,Sheet_Items,6,0)</f>
        <v>加：资产减值准备</v>
      </c>
      <c r="H5102" s="1476">
        <f t="shared" si="552"/>
        <v>0</v>
      </c>
      <c r="I5102" s="1477">
        <f t="shared" si="553"/>
        <v>35987.15</v>
      </c>
      <c r="J5102" s="291"/>
      <c r="K5102" s="291"/>
      <c r="L5102" s="291"/>
      <c r="M5102" s="291"/>
      <c r="S5102" s="364"/>
      <c r="Z5102" s="609" t="s">
        <v>1995</v>
      </c>
      <c r="AA5102" s="609"/>
    </row>
    <row r="5103" spans="1:27" ht="18">
      <c r="A5103" s="2714"/>
      <c r="B5103" s="371">
        <v>7504</v>
      </c>
      <c r="C5103" s="371" t="s">
        <v>2791</v>
      </c>
      <c r="D5103" s="2716">
        <f t="shared" ref="D5103" si="554">IF(OR(G5103="*",G5103="",G5103=0),0,COUNTIF($G$5101:$G$5118,G5103))</f>
        <v>1</v>
      </c>
      <c r="E5103" s="2721">
        <v>1</v>
      </c>
      <c r="F5103" s="294"/>
      <c r="G5103" s="1502" t="str">
        <f t="shared" si="551"/>
        <v>信用减值损失</v>
      </c>
      <c r="H5103" s="1476">
        <f t="shared" si="552"/>
        <v>-4831.16</v>
      </c>
      <c r="I5103" s="1477">
        <f t="shared" si="553"/>
        <v>0</v>
      </c>
      <c r="J5103" s="291"/>
      <c r="K5103" s="291"/>
      <c r="L5103" s="291"/>
      <c r="M5103" s="291"/>
      <c r="S5103" s="364"/>
      <c r="Z5103" s="609" t="s">
        <v>1995</v>
      </c>
      <c r="AA5103" s="609"/>
    </row>
    <row r="5104" spans="1:27" ht="36">
      <c r="A5104" s="2714"/>
      <c r="B5104" s="371">
        <v>7505</v>
      </c>
      <c r="C5104" s="371"/>
      <c r="D5104" s="2716">
        <f t="shared" si="550"/>
        <v>1</v>
      </c>
      <c r="E5104" s="2721">
        <v>1</v>
      </c>
      <c r="F5104" s="294"/>
      <c r="G5104" s="1502" t="str">
        <f t="shared" si="551"/>
        <v>固定资产折旧、投资性房地产折旧、油气资产折耗、生产性生物资产折旧</v>
      </c>
      <c r="H5104" s="1476">
        <f t="shared" si="552"/>
        <v>1298.1600000000001</v>
      </c>
      <c r="I5104" s="1477">
        <f t="shared" si="553"/>
        <v>507.85</v>
      </c>
      <c r="J5104" s="291"/>
      <c r="K5104" s="291"/>
      <c r="L5104" s="291"/>
      <c r="M5104" s="291"/>
      <c r="S5104" s="364"/>
      <c r="Z5104" s="609" t="s">
        <v>1995</v>
      </c>
      <c r="AA5104" s="609"/>
    </row>
    <row r="5105" spans="1:27" ht="18">
      <c r="A5105" s="2714"/>
      <c r="B5105" s="371">
        <v>7506</v>
      </c>
      <c r="C5105" s="371"/>
      <c r="D5105" s="2716">
        <f t="shared" si="550"/>
        <v>1</v>
      </c>
      <c r="E5105" s="2721">
        <v>1</v>
      </c>
      <c r="F5105" s="294"/>
      <c r="G5105" s="1502" t="str">
        <f t="shared" si="551"/>
        <v>无形资产摊销</v>
      </c>
      <c r="H5105" s="1476">
        <f t="shared" si="552"/>
        <v>218545.8</v>
      </c>
      <c r="I5105" s="1477">
        <f t="shared" si="553"/>
        <v>0</v>
      </c>
      <c r="J5105" s="291"/>
      <c r="K5105" s="291"/>
      <c r="L5105" s="291"/>
      <c r="M5105" s="291"/>
      <c r="S5105" s="364"/>
      <c r="Z5105" s="609" t="s">
        <v>1995</v>
      </c>
      <c r="AA5105" s="609"/>
    </row>
    <row r="5106" spans="1:27" ht="18">
      <c r="A5106" s="2714"/>
      <c r="B5106" s="371">
        <v>7507</v>
      </c>
      <c r="C5106" s="371"/>
      <c r="D5106" s="2716">
        <f t="shared" si="550"/>
        <v>1</v>
      </c>
      <c r="E5106" s="2721">
        <v>1</v>
      </c>
      <c r="F5106" s="294"/>
      <c r="G5106" s="1502" t="str">
        <f t="shared" si="551"/>
        <v>长期待摊费用摊销</v>
      </c>
      <c r="H5106" s="1476">
        <f t="shared" si="552"/>
        <v>0</v>
      </c>
      <c r="I5106" s="1477">
        <f t="shared" si="553"/>
        <v>0</v>
      </c>
      <c r="J5106" s="291"/>
      <c r="K5106" s="291"/>
      <c r="L5106" s="291"/>
      <c r="M5106" s="291"/>
      <c r="S5106" s="364"/>
      <c r="Z5106" s="609" t="s">
        <v>1995</v>
      </c>
      <c r="AA5106" s="609"/>
    </row>
    <row r="5107" spans="1:27" ht="36">
      <c r="A5107" s="2714"/>
      <c r="B5107" s="371">
        <v>7508</v>
      </c>
      <c r="C5107" s="371"/>
      <c r="D5107" s="2716">
        <f t="shared" si="550"/>
        <v>1</v>
      </c>
      <c r="E5107" s="2721">
        <v>1</v>
      </c>
      <c r="F5107" s="294"/>
      <c r="G5107" s="1502" t="str">
        <f t="shared" si="551"/>
        <v>处置固定资产、无形资产和其他长期资产的损失（收益以“－”号填列）</v>
      </c>
      <c r="H5107" s="1476">
        <f t="shared" si="552"/>
        <v>0</v>
      </c>
      <c r="I5107" s="1477">
        <f t="shared" si="553"/>
        <v>0</v>
      </c>
      <c r="J5107" s="291"/>
      <c r="K5107" s="291"/>
      <c r="L5107" s="291"/>
      <c r="M5107" s="291"/>
      <c r="S5107" s="364"/>
      <c r="Z5107" s="609" t="s">
        <v>1995</v>
      </c>
      <c r="AA5107" s="609"/>
    </row>
    <row r="5108" spans="1:27" ht="24">
      <c r="A5108" s="2714"/>
      <c r="B5108" s="371">
        <v>7509</v>
      </c>
      <c r="C5108" s="371"/>
      <c r="D5108" s="2716">
        <f t="shared" si="550"/>
        <v>1</v>
      </c>
      <c r="E5108" s="2721">
        <v>1</v>
      </c>
      <c r="F5108" s="294"/>
      <c r="G5108" s="1502" t="str">
        <f t="shared" si="551"/>
        <v>固定资产报废损失（收益以“－”号填列）</v>
      </c>
      <c r="H5108" s="1476">
        <f t="shared" si="552"/>
        <v>0</v>
      </c>
      <c r="I5108" s="1477">
        <f t="shared" si="553"/>
        <v>0</v>
      </c>
      <c r="J5108" s="291"/>
      <c r="K5108" s="291"/>
      <c r="L5108" s="291"/>
      <c r="M5108" s="291"/>
      <c r="S5108" s="364"/>
      <c r="Z5108" s="609" t="s">
        <v>1995</v>
      </c>
      <c r="AA5108" s="609"/>
    </row>
    <row r="5109" spans="1:27" ht="24">
      <c r="A5109" s="2714"/>
      <c r="B5109" s="371">
        <v>7510</v>
      </c>
      <c r="C5109" s="371"/>
      <c r="D5109" s="2716">
        <f t="shared" si="550"/>
        <v>1</v>
      </c>
      <c r="E5109" s="2721">
        <v>1</v>
      </c>
      <c r="F5109" s="294"/>
      <c r="G5109" s="1502" t="str">
        <f t="shared" si="551"/>
        <v>公允价值变动损失（收益以“－”号填列）</v>
      </c>
      <c r="H5109" s="1476">
        <f t="shared" si="552"/>
        <v>0</v>
      </c>
      <c r="I5109" s="1477">
        <f t="shared" si="553"/>
        <v>0</v>
      </c>
      <c r="J5109" s="291"/>
      <c r="K5109" s="291"/>
      <c r="L5109" s="291"/>
      <c r="M5109" s="291"/>
      <c r="S5109" s="364"/>
      <c r="Z5109" s="609" t="s">
        <v>1995</v>
      </c>
      <c r="AA5109" s="609"/>
    </row>
    <row r="5110" spans="1:27" ht="24">
      <c r="A5110" s="2714"/>
      <c r="B5110" s="371">
        <v>7511</v>
      </c>
      <c r="C5110" s="371"/>
      <c r="D5110" s="2716">
        <f t="shared" si="550"/>
        <v>1</v>
      </c>
      <c r="E5110" s="2721">
        <v>1</v>
      </c>
      <c r="F5110" s="294"/>
      <c r="G5110" s="1502" t="str">
        <f t="shared" si="551"/>
        <v>财务费用（收益以“－”号填列）</v>
      </c>
      <c r="H5110" s="1476">
        <f t="shared" si="552"/>
        <v>0</v>
      </c>
      <c r="I5110" s="1477">
        <f t="shared" si="553"/>
        <v>0</v>
      </c>
      <c r="J5110" s="291"/>
      <c r="K5110" s="291"/>
      <c r="L5110" s="291"/>
      <c r="M5110" s="291"/>
      <c r="S5110" s="364"/>
      <c r="Z5110" s="609" t="s">
        <v>1995</v>
      </c>
      <c r="AA5110" s="609"/>
    </row>
    <row r="5111" spans="1:27" ht="24">
      <c r="A5111" s="2714"/>
      <c r="B5111" s="371">
        <v>7512</v>
      </c>
      <c r="C5111" s="371"/>
      <c r="D5111" s="2716">
        <f t="shared" si="550"/>
        <v>1</v>
      </c>
      <c r="E5111" s="2721">
        <v>1</v>
      </c>
      <c r="F5111" s="294"/>
      <c r="G5111" s="1502" t="str">
        <f t="shared" si="551"/>
        <v>投资损失（收益以“－”号填列）</v>
      </c>
      <c r="H5111" s="1476">
        <f t="shared" si="552"/>
        <v>0</v>
      </c>
      <c r="I5111" s="1477">
        <f t="shared" si="553"/>
        <v>0</v>
      </c>
      <c r="J5111" s="291"/>
      <c r="K5111" s="291"/>
      <c r="L5111" s="291"/>
      <c r="M5111" s="291"/>
      <c r="S5111" s="364"/>
      <c r="Z5111" s="609" t="s">
        <v>1995</v>
      </c>
      <c r="AA5111" s="609"/>
    </row>
    <row r="5112" spans="1:27" ht="24">
      <c r="A5112" s="2714"/>
      <c r="B5112" s="371">
        <v>7515</v>
      </c>
      <c r="C5112" s="371"/>
      <c r="D5112" s="2716">
        <f t="shared" si="550"/>
        <v>1</v>
      </c>
      <c r="E5112" s="2721">
        <v>1</v>
      </c>
      <c r="F5112" s="294"/>
      <c r="G5112" s="1502" t="str">
        <f t="shared" si="551"/>
        <v>递延所得税资产减少（增加以“－”号填列）</v>
      </c>
      <c r="H5112" s="1476">
        <f t="shared" si="552"/>
        <v>-1090974.7</v>
      </c>
      <c r="I5112" s="1477">
        <f t="shared" si="553"/>
        <v>-8996.7900000000009</v>
      </c>
      <c r="J5112" s="291"/>
      <c r="K5112" s="291"/>
      <c r="L5112" s="291"/>
      <c r="M5112" s="291"/>
      <c r="S5112" s="364"/>
      <c r="Z5112" s="609" t="s">
        <v>1995</v>
      </c>
      <c r="AA5112" s="609"/>
    </row>
    <row r="5113" spans="1:27" ht="24">
      <c r="A5113" s="2714"/>
      <c r="B5113" s="371">
        <v>7516</v>
      </c>
      <c r="C5113" s="371"/>
      <c r="D5113" s="2716">
        <f t="shared" si="550"/>
        <v>1</v>
      </c>
      <c r="E5113" s="2721">
        <v>1</v>
      </c>
      <c r="F5113" s="294"/>
      <c r="G5113" s="1502" t="str">
        <f t="shared" si="551"/>
        <v>递延所得税负债增加（减少以“－”号填列）</v>
      </c>
      <c r="H5113" s="1476">
        <f t="shared" si="552"/>
        <v>0</v>
      </c>
      <c r="I5113" s="1477">
        <f t="shared" si="553"/>
        <v>0</v>
      </c>
      <c r="J5113" s="291"/>
      <c r="K5113" s="291"/>
      <c r="L5113" s="291"/>
      <c r="M5113" s="291"/>
      <c r="S5113" s="364"/>
      <c r="Z5113" s="609" t="s">
        <v>1995</v>
      </c>
      <c r="AA5113" s="609"/>
    </row>
    <row r="5114" spans="1:27" ht="24">
      <c r="A5114" s="2714"/>
      <c r="B5114" s="371">
        <v>7517</v>
      </c>
      <c r="C5114" s="371"/>
      <c r="D5114" s="2716">
        <f t="shared" si="550"/>
        <v>1</v>
      </c>
      <c r="E5114" s="2721">
        <v>1</v>
      </c>
      <c r="F5114" s="294"/>
      <c r="G5114" s="1502" t="str">
        <f t="shared" si="551"/>
        <v>存货的减少（增加以“－”号填列）</v>
      </c>
      <c r="H5114" s="1476">
        <f t="shared" si="552"/>
        <v>0</v>
      </c>
      <c r="I5114" s="1477">
        <f t="shared" si="553"/>
        <v>0</v>
      </c>
      <c r="J5114" s="291"/>
      <c r="K5114" s="291"/>
      <c r="L5114" s="291"/>
      <c r="M5114" s="291"/>
      <c r="S5114" s="364"/>
      <c r="Z5114" s="609" t="s">
        <v>1995</v>
      </c>
      <c r="AA5114" s="609"/>
    </row>
    <row r="5115" spans="1:27" ht="24">
      <c r="A5115" s="2714"/>
      <c r="B5115" s="371">
        <v>7518</v>
      </c>
      <c r="C5115" s="371"/>
      <c r="D5115" s="2716">
        <f t="shared" si="550"/>
        <v>1</v>
      </c>
      <c r="E5115" s="2721">
        <v>1</v>
      </c>
      <c r="F5115" s="294"/>
      <c r="G5115" s="1502" t="str">
        <f t="shared" si="551"/>
        <v>经营性应收项目的减少（增加以“－”号填列）</v>
      </c>
      <c r="H5115" s="1476">
        <f t="shared" si="552"/>
        <v>4227653.54</v>
      </c>
      <c r="I5115" s="1477">
        <f t="shared" si="553"/>
        <v>-5015190.28</v>
      </c>
      <c r="J5115" s="291"/>
      <c r="K5115" s="291"/>
      <c r="L5115" s="291"/>
      <c r="M5115" s="291"/>
      <c r="S5115" s="364"/>
      <c r="Z5115" s="609" t="s">
        <v>1995</v>
      </c>
      <c r="AA5115" s="609"/>
    </row>
    <row r="5116" spans="1:27" ht="24">
      <c r="A5116" s="2714"/>
      <c r="B5116" s="371">
        <v>7519</v>
      </c>
      <c r="C5116" s="371"/>
      <c r="D5116" s="2716">
        <f t="shared" si="550"/>
        <v>1</v>
      </c>
      <c r="E5116" s="2721">
        <v>1</v>
      </c>
      <c r="F5116" s="294"/>
      <c r="G5116" s="1502" t="str">
        <f t="shared" si="551"/>
        <v>经营性应付项目的增加（减少以“－”号填列）</v>
      </c>
      <c r="H5116" s="1476">
        <f t="shared" si="552"/>
        <v>-4780269.82</v>
      </c>
      <c r="I5116" s="1477">
        <f t="shared" si="553"/>
        <v>-1032233.81</v>
      </c>
      <c r="J5116" s="291"/>
      <c r="K5116" s="291"/>
      <c r="L5116" s="291"/>
      <c r="M5116" s="291"/>
      <c r="S5116" s="364"/>
      <c r="Z5116" s="609" t="s">
        <v>1995</v>
      </c>
      <c r="AA5116" s="609"/>
    </row>
    <row r="5117" spans="1:27" ht="18">
      <c r="A5117" s="2714"/>
      <c r="B5117" s="371">
        <v>7523</v>
      </c>
      <c r="C5117" s="371"/>
      <c r="D5117" s="2716">
        <f t="shared" si="550"/>
        <v>1</v>
      </c>
      <c r="E5117" s="2721">
        <v>1</v>
      </c>
      <c r="F5117" s="294"/>
      <c r="G5117" s="1502" t="str">
        <f t="shared" si="551"/>
        <v>其他</v>
      </c>
      <c r="H5117" s="1476">
        <f t="shared" si="552"/>
        <v>0</v>
      </c>
      <c r="I5117" s="1477">
        <f t="shared" si="553"/>
        <v>0</v>
      </c>
      <c r="J5117" s="343"/>
      <c r="K5117" s="291"/>
      <c r="L5117" s="291"/>
      <c r="M5117" s="291"/>
      <c r="S5117" s="364"/>
      <c r="Z5117" s="609" t="s">
        <v>1995</v>
      </c>
      <c r="AA5117" s="609"/>
    </row>
    <row r="5118" spans="1:27" ht="18.75" thickBot="1">
      <c r="A5118" s="2714"/>
      <c r="B5118" s="371"/>
      <c r="C5118" s="371"/>
      <c r="D5118" s="2716">
        <f t="shared" si="550"/>
        <v>1</v>
      </c>
      <c r="E5118" s="2721" t="s">
        <v>3032</v>
      </c>
      <c r="F5118" s="294"/>
      <c r="G5118" s="374" t="s">
        <v>2247</v>
      </c>
      <c r="H5118" s="1478">
        <f>SUMPRODUCT($E5100:$E5117,H5100:H5117)</f>
        <v>318801.53999999998</v>
      </c>
      <c r="I5118" s="1479">
        <f>SUMPRODUCT($E5100:$E5117,I5100:I5117)</f>
        <v>-556243.94999999995</v>
      </c>
      <c r="J5118" s="291"/>
      <c r="K5118" s="291"/>
      <c r="L5118" s="291"/>
      <c r="M5118" s="291"/>
      <c r="S5118" s="364"/>
      <c r="Z5118" s="609" t="s">
        <v>1995</v>
      </c>
      <c r="AA5118" s="609"/>
    </row>
    <row r="5119" spans="1:27" ht="24.75" thickBot="1">
      <c r="A5119" s="2714"/>
      <c r="B5119" s="371">
        <v>901</v>
      </c>
      <c r="C5119" s="371"/>
      <c r="D5119" s="371"/>
      <c r="E5119" s="2716" t="s">
        <v>2753</v>
      </c>
      <c r="F5119" s="294"/>
      <c r="G5119" s="1507" t="s">
        <v>4397</v>
      </c>
      <c r="H5119" s="313"/>
      <c r="I5119" s="348"/>
      <c r="J5119" s="343"/>
      <c r="K5119" s="349"/>
      <c r="L5119" s="349"/>
      <c r="M5119" s="291"/>
      <c r="N5119" s="291"/>
      <c r="O5119" s="291"/>
      <c r="P5119" s="291"/>
      <c r="S5119" s="364"/>
      <c r="Z5119" s="609" t="s">
        <v>1995</v>
      </c>
      <c r="AA5119" s="609"/>
    </row>
    <row r="5120" spans="1:27" ht="18">
      <c r="A5120" s="2714"/>
      <c r="B5120" s="371"/>
      <c r="C5120" s="371" t="s">
        <v>2755</v>
      </c>
      <c r="D5120" s="371"/>
      <c r="F5120" s="294"/>
      <c r="G5120" s="301"/>
      <c r="H5120" s="315"/>
      <c r="I5120" s="315"/>
      <c r="J5120" s="291"/>
      <c r="K5120" s="291"/>
      <c r="L5120" s="291"/>
      <c r="M5120" s="291"/>
      <c r="S5120" s="364"/>
      <c r="Z5120" s="609" t="s">
        <v>1995</v>
      </c>
      <c r="AA5120" s="609"/>
    </row>
    <row r="5121" spans="1:27" ht="24">
      <c r="A5121" s="2714" t="s">
        <v>1996</v>
      </c>
      <c r="B5121" s="371">
        <v>2</v>
      </c>
      <c r="C5121" s="371"/>
      <c r="D5121" s="2716" t="str">
        <f>VLOOKUP($A5121,Sheet_NoteList,2,0)</f>
        <v>不涉及现金收支的重大投资和筹资活动</v>
      </c>
      <c r="E5121" s="2716" t="s">
        <v>2742</v>
      </c>
      <c r="F5121" s="294"/>
      <c r="G5121" s="372" t="str">
        <f>"("&amp;B5121&amp;")"&amp;D5121</f>
        <v>(2)不涉及现金收支的重大投资和筹资活动</v>
      </c>
      <c r="H5121" s="1517" t="str">
        <f>$A5121</f>
        <v>7500b</v>
      </c>
      <c r="I5121" s="343" t="s">
        <v>2743</v>
      </c>
      <c r="J5121" s="301"/>
      <c r="K5121" s="3081"/>
      <c r="L5121" s="315"/>
      <c r="M5121" s="301"/>
      <c r="N5121" s="3081"/>
      <c r="O5121" s="315"/>
      <c r="P5121" s="301"/>
      <c r="S5121" s="364"/>
      <c r="Z5121" s="609" t="s">
        <v>1995</v>
      </c>
      <c r="AA5121" s="609"/>
    </row>
    <row r="5122" spans="1:27" ht="0.75" customHeight="1" thickBot="1">
      <c r="A5122" s="2714"/>
      <c r="B5122" s="371"/>
      <c r="C5122" s="371"/>
      <c r="D5122" s="371"/>
      <c r="F5122" s="294" t="s">
        <v>5812</v>
      </c>
      <c r="G5122" s="294" t="s">
        <v>4398</v>
      </c>
      <c r="H5122" s="294" t="s">
        <v>3472</v>
      </c>
      <c r="I5122" s="294" t="s">
        <v>3473</v>
      </c>
      <c r="J5122" s="291"/>
      <c r="K5122" s="291"/>
      <c r="L5122" s="291"/>
      <c r="M5122" s="291"/>
      <c r="S5122" s="364"/>
      <c r="Z5122" s="609" t="s">
        <v>1995</v>
      </c>
      <c r="AA5122" s="609"/>
    </row>
    <row r="5123" spans="1:27" ht="18">
      <c r="A5123" s="2714"/>
      <c r="B5123" s="371"/>
      <c r="C5123" s="371"/>
      <c r="D5123" s="371"/>
      <c r="E5123" s="2716" t="s">
        <v>2749</v>
      </c>
      <c r="F5123" s="294"/>
      <c r="G5123" s="1503" t="s">
        <v>918</v>
      </c>
      <c r="H5123" s="1501" t="str">
        <f>$V$4</f>
        <v>2019年度</v>
      </c>
      <c r="I5123" s="593" t="str">
        <f>$V$5</f>
        <v>2018年度</v>
      </c>
      <c r="J5123" s="355" t="s">
        <v>5343</v>
      </c>
      <c r="K5123" s="291"/>
      <c r="L5123" s="291"/>
      <c r="M5123" s="291"/>
      <c r="S5123" s="364"/>
      <c r="Z5123" s="609" t="s">
        <v>1995</v>
      </c>
      <c r="AA5123" s="609"/>
    </row>
    <row r="5124" spans="1:27" ht="18">
      <c r="A5124" s="2714"/>
      <c r="B5124" s="371">
        <v>7527</v>
      </c>
      <c r="C5124" s="371"/>
      <c r="D5124" s="2716">
        <f>IF(OR(G5124="*",G5124="",G5124=0),0,COUNTIF($G$5124:$G$5127,G5124))</f>
        <v>1</v>
      </c>
      <c r="E5124" s="2721">
        <v>1</v>
      </c>
      <c r="F5124" s="294"/>
      <c r="G5124" s="1502" t="str">
        <f>VLOOKUP($B5124,Sheet_Items,6,0)</f>
        <v>债务转为资本</v>
      </c>
      <c r="H5124" s="1476">
        <f>VLOOKUP($B5124,Sheet_CF7,4,0)</f>
        <v>0</v>
      </c>
      <c r="I5124" s="1477">
        <f>VLOOKUP($B5124,Sheet_CF7,5,0)</f>
        <v>0</v>
      </c>
      <c r="J5124" s="291"/>
      <c r="K5124" s="291"/>
      <c r="L5124" s="291"/>
      <c r="M5124" s="291"/>
      <c r="S5124" s="364"/>
      <c r="Z5124" s="609" t="s">
        <v>1995</v>
      </c>
      <c r="AA5124" s="609"/>
    </row>
    <row r="5125" spans="1:27" ht="18">
      <c r="A5125" s="2714"/>
      <c r="B5125" s="371">
        <v>7528</v>
      </c>
      <c r="C5125" s="371"/>
      <c r="D5125" s="2716">
        <f>IF(OR(G5125="*",G5125="",G5125=0),0,COUNTIF($G$5124:$G$5127,G5125))</f>
        <v>1</v>
      </c>
      <c r="E5125" s="2721">
        <v>1</v>
      </c>
      <c r="F5125" s="294"/>
      <c r="G5125" s="1502" t="str">
        <f>VLOOKUP($B5125,Sheet_Items,6,0)</f>
        <v>一年内到期的可转换公司债券</v>
      </c>
      <c r="H5125" s="1476">
        <f>VLOOKUP($B5125,Sheet_CF7,4,0)</f>
        <v>0</v>
      </c>
      <c r="I5125" s="1477">
        <f>VLOOKUP($B5125,Sheet_CF7,5,0)</f>
        <v>0</v>
      </c>
      <c r="J5125" s="291"/>
      <c r="K5125" s="291"/>
      <c r="L5125" s="291"/>
      <c r="M5125" s="291"/>
      <c r="S5125" s="364"/>
      <c r="Z5125" s="609" t="s">
        <v>1995</v>
      </c>
      <c r="AA5125" s="609"/>
    </row>
    <row r="5126" spans="1:27" ht="18">
      <c r="A5126" s="2714"/>
      <c r="B5126" s="371">
        <v>7529</v>
      </c>
      <c r="C5126" s="371"/>
      <c r="D5126" s="2716">
        <f>IF(OR(G5126="*",G5126="",G5126=0),0,COUNTIF($G$5124:$G$5127,G5126))</f>
        <v>1</v>
      </c>
      <c r="E5126" s="2721">
        <v>1</v>
      </c>
      <c r="F5126" s="294"/>
      <c r="G5126" s="1502" t="str">
        <f>VLOOKUP($B5126,Sheet_Items,6,0)</f>
        <v>融资租入固定资产</v>
      </c>
      <c r="H5126" s="1476">
        <f>VLOOKUP($B5126,Sheet_CF7,4,0)</f>
        <v>0</v>
      </c>
      <c r="I5126" s="1477">
        <f>VLOOKUP($B5126,Sheet_CF7,5,0)</f>
        <v>0</v>
      </c>
      <c r="J5126" s="291"/>
      <c r="K5126" s="291"/>
      <c r="L5126" s="291"/>
      <c r="M5126" s="291"/>
      <c r="S5126" s="364"/>
      <c r="Z5126" s="609" t="s">
        <v>1995</v>
      </c>
      <c r="AA5126" s="609"/>
    </row>
    <row r="5127" spans="1:27" ht="18.75" thickBot="1">
      <c r="A5127" s="2714"/>
      <c r="B5127" s="371"/>
      <c r="C5127" s="371"/>
      <c r="D5127" s="2716">
        <f>IF(OR(G5127="*",G5127="",G5127=0),0,COUNTIF($G$5124:$G$5127,G5127))</f>
        <v>0</v>
      </c>
      <c r="E5127" s="2721" t="s">
        <v>3595</v>
      </c>
      <c r="F5127" s="294"/>
      <c r="G5127" s="2381"/>
      <c r="H5127" s="2680"/>
      <c r="I5127" s="2681"/>
      <c r="J5127" s="291"/>
      <c r="K5127" s="291"/>
      <c r="L5127" s="291"/>
      <c r="M5127" s="291"/>
      <c r="S5127" s="364"/>
      <c r="Z5127" s="609" t="s">
        <v>1995</v>
      </c>
      <c r="AA5127" s="609"/>
    </row>
    <row r="5128" spans="1:27" ht="18">
      <c r="A5128" s="2714"/>
      <c r="B5128" s="371"/>
      <c r="C5128" s="371" t="s">
        <v>2755</v>
      </c>
      <c r="D5128" s="371"/>
      <c r="F5128" s="294"/>
      <c r="G5128" s="301"/>
      <c r="H5128" s="315"/>
      <c r="I5128" s="315"/>
      <c r="J5128" s="291"/>
      <c r="K5128" s="291"/>
      <c r="L5128" s="291"/>
      <c r="M5128" s="291"/>
      <c r="S5128" s="364"/>
      <c r="Z5128" s="609" t="s">
        <v>1995</v>
      </c>
      <c r="AA5128" s="609"/>
    </row>
    <row r="5129" spans="1:27" ht="24">
      <c r="A5129" s="2714" t="s">
        <v>1998</v>
      </c>
      <c r="B5129" s="371">
        <v>3</v>
      </c>
      <c r="C5129" s="371"/>
      <c r="D5129" s="2716" t="str">
        <f>VLOOKUP($A5129,Sheet_NoteList,2,0)</f>
        <v>现金及现金等价物净变动情况</v>
      </c>
      <c r="E5129" s="2716" t="s">
        <v>2742</v>
      </c>
      <c r="F5129" s="294"/>
      <c r="G5129" s="372" t="str">
        <f>"("&amp;B5129&amp;")"&amp;D5129</f>
        <v>(3)现金及现金等价物净变动情况</v>
      </c>
      <c r="H5129" s="1517" t="str">
        <f>$A5129</f>
        <v>7500c</v>
      </c>
      <c r="I5129" s="343" t="s">
        <v>2743</v>
      </c>
      <c r="J5129" s="301"/>
      <c r="K5129" s="3081"/>
      <c r="L5129" s="315"/>
      <c r="M5129" s="301"/>
      <c r="N5129" s="3081"/>
      <c r="O5129" s="315"/>
      <c r="P5129" s="301"/>
      <c r="Q5129" s="290" t="str">
        <f>IF($I5129="不适用","",IF(ROUND(SUM($H$5132:$I$5136),2)=0,"请输入",""))</f>
        <v/>
      </c>
      <c r="S5129" s="364"/>
      <c r="Z5129" s="609" t="s">
        <v>1995</v>
      </c>
      <c r="AA5129" s="609"/>
    </row>
    <row r="5130" spans="1:27" ht="0.75" customHeight="1" thickBot="1">
      <c r="A5130" s="2714"/>
      <c r="B5130" s="371"/>
      <c r="C5130" s="371"/>
      <c r="D5130" s="371"/>
      <c r="F5130" s="304" t="s">
        <v>5812</v>
      </c>
      <c r="G5130" s="304" t="s">
        <v>4399</v>
      </c>
      <c r="H5130" s="304" t="s">
        <v>3472</v>
      </c>
      <c r="I5130" s="304" t="s">
        <v>3473</v>
      </c>
      <c r="J5130" s="291"/>
      <c r="K5130" s="291"/>
      <c r="L5130" s="291"/>
      <c r="M5130" s="291"/>
      <c r="S5130" s="364"/>
      <c r="Z5130" s="609" t="s">
        <v>1995</v>
      </c>
      <c r="AA5130" s="609"/>
    </row>
    <row r="5131" spans="1:27" ht="18">
      <c r="A5131" s="2714"/>
      <c r="B5131" s="371"/>
      <c r="C5131" s="371"/>
      <c r="D5131" s="371"/>
      <c r="E5131" s="2716" t="s">
        <v>2749</v>
      </c>
      <c r="F5131" s="294"/>
      <c r="G5131" s="378" t="s">
        <v>918</v>
      </c>
      <c r="H5131" s="398" t="str">
        <f>$V$4</f>
        <v>2019年度</v>
      </c>
      <c r="I5131" s="511" t="str">
        <f>$V$5</f>
        <v>2018年度</v>
      </c>
      <c r="J5131" s="355" t="s">
        <v>5343</v>
      </c>
      <c r="K5131" s="291"/>
      <c r="L5131" s="291"/>
      <c r="M5131" s="291"/>
      <c r="S5131" s="364"/>
      <c r="Z5131" s="609" t="s">
        <v>1995</v>
      </c>
      <c r="AA5131" s="609"/>
    </row>
    <row r="5132" spans="1:27" ht="18">
      <c r="A5132" s="2714"/>
      <c r="B5132" s="371">
        <v>7535</v>
      </c>
      <c r="C5132" s="371"/>
      <c r="D5132" s="2716">
        <f>IF(OR(G5132="*",G5132="",G5132=0),0,COUNTIF($G$5132:$G$5136,G5132))</f>
        <v>1</v>
      </c>
      <c r="E5132" s="2721">
        <v>1</v>
      </c>
      <c r="F5132" s="294"/>
      <c r="G5132" s="380" t="str">
        <f>VLOOKUP($B5132,Sheet_Items,6,0)</f>
        <v>现金的期末余额</v>
      </c>
      <c r="H5132" s="383">
        <f>VLOOKUP($B5132,Sheet_CF7,4,0)</f>
        <v>379964.14</v>
      </c>
      <c r="I5132" s="401">
        <f>VLOOKUP($B5132,Sheet_CF7,5,0)</f>
        <v>799162.6</v>
      </c>
      <c r="J5132" s="291"/>
      <c r="K5132" s="291"/>
      <c r="L5132" s="291"/>
      <c r="M5132" s="291"/>
      <c r="S5132" s="364"/>
      <c r="Z5132" s="609" t="s">
        <v>1995</v>
      </c>
      <c r="AA5132" s="609"/>
    </row>
    <row r="5133" spans="1:27" ht="18">
      <c r="A5133" s="2714"/>
      <c r="B5133" s="371">
        <v>7536</v>
      </c>
      <c r="C5133" s="371"/>
      <c r="D5133" s="2716">
        <f>IF(OR(G5133="*",G5133="",G5133=0),0,COUNTIF($G$5132:$G$5136,G5133))</f>
        <v>1</v>
      </c>
      <c r="E5133" s="2721">
        <v>-1</v>
      </c>
      <c r="F5133" s="294"/>
      <c r="G5133" s="380" t="str">
        <f>VLOOKUP($B5133,Sheet_Items,6,0)</f>
        <v>减：现金的年初余额</v>
      </c>
      <c r="H5133" s="383">
        <f>VLOOKUP($B5133,Sheet_CF7,4,0)</f>
        <v>799162.6</v>
      </c>
      <c r="I5133" s="401">
        <f>VLOOKUP($B5133,Sheet_CF7,5,0)</f>
        <v>160826.12</v>
      </c>
      <c r="J5133" s="291"/>
      <c r="K5133" s="291"/>
      <c r="L5133" s="291"/>
      <c r="M5133" s="291"/>
      <c r="S5133" s="364"/>
      <c r="Z5133" s="609" t="s">
        <v>1995</v>
      </c>
      <c r="AA5133" s="609"/>
    </row>
    <row r="5134" spans="1:27" ht="18">
      <c r="A5134" s="2714"/>
      <c r="B5134" s="371">
        <v>7537</v>
      </c>
      <c r="C5134" s="371"/>
      <c r="D5134" s="2716">
        <f>IF(OR(G5134="*",G5134="",G5134=0),0,COUNTIF($G$5132:$G$5136,G5134))</f>
        <v>1</v>
      </c>
      <c r="E5134" s="2721">
        <v>1</v>
      </c>
      <c r="F5134" s="294"/>
      <c r="G5134" s="380" t="str">
        <f>VLOOKUP($B5134,Sheet_Items,6,0)</f>
        <v>加：现金等价物的期末余额</v>
      </c>
      <c r="H5134" s="383">
        <f>VLOOKUP($B5134,Sheet_CF7,4,0)</f>
        <v>0</v>
      </c>
      <c r="I5134" s="401">
        <f>VLOOKUP($B5134,Sheet_CF7,5,0)</f>
        <v>0</v>
      </c>
      <c r="J5134" s="291"/>
      <c r="K5134" s="291"/>
      <c r="L5134" s="291"/>
      <c r="M5134" s="291"/>
      <c r="S5134" s="364"/>
      <c r="Z5134" s="609" t="s">
        <v>1995</v>
      </c>
      <c r="AA5134" s="609"/>
    </row>
    <row r="5135" spans="1:27" ht="18">
      <c r="A5135" s="2714"/>
      <c r="B5135" s="371">
        <v>7538</v>
      </c>
      <c r="C5135" s="371"/>
      <c r="D5135" s="2716">
        <f>IF(OR(G5135="*",G5135="",G5135=0),0,COUNTIF($G$5132:$G$5136,G5135))</f>
        <v>1</v>
      </c>
      <c r="E5135" s="2721">
        <v>-1</v>
      </c>
      <c r="F5135" s="294"/>
      <c r="G5135" s="380" t="str">
        <f>VLOOKUP($B5135,Sheet_Items,6,0)</f>
        <v>减：现金等价物的年初余额</v>
      </c>
      <c r="H5135" s="383">
        <f>VLOOKUP($B5135,Sheet_CF7,4,0)</f>
        <v>0</v>
      </c>
      <c r="I5135" s="401">
        <f>VLOOKUP($B5135,Sheet_CF7,5,0)</f>
        <v>0</v>
      </c>
      <c r="J5135" s="291"/>
      <c r="K5135" s="291"/>
      <c r="L5135" s="291"/>
      <c r="M5135" s="291"/>
      <c r="S5135" s="364"/>
      <c r="Z5135" s="609" t="s">
        <v>1995</v>
      </c>
      <c r="AA5135" s="609"/>
    </row>
    <row r="5136" spans="1:27" ht="18.75" thickBot="1">
      <c r="A5136" s="2714"/>
      <c r="B5136" s="371"/>
      <c r="C5136" s="371"/>
      <c r="D5136" s="2716">
        <f>IF(OR(G5136="*",G5136="",G5136=0),0,COUNTIF($G$5132:$G$5136,G5136))</f>
        <v>1</v>
      </c>
      <c r="E5136" s="2721" t="s">
        <v>3032</v>
      </c>
      <c r="F5136" s="294"/>
      <c r="G5136" s="403" t="s">
        <v>2269</v>
      </c>
      <c r="H5136" s="503">
        <f>SUMPRODUCT($E5131:$E5135,H5131:H5135)</f>
        <v>-419198.46</v>
      </c>
      <c r="I5136" s="515">
        <f>SUMPRODUCT($E5131:$E5135,I5131:I5135)</f>
        <v>638336.48</v>
      </c>
      <c r="J5136" s="291"/>
      <c r="K5136" s="291"/>
      <c r="L5136" s="291"/>
      <c r="M5136" s="291"/>
      <c r="S5136" s="364"/>
      <c r="Z5136" s="609" t="s">
        <v>1995</v>
      </c>
      <c r="AA5136" s="609"/>
    </row>
    <row r="5137" spans="1:27" ht="18">
      <c r="A5137" s="2714"/>
      <c r="B5137" s="371"/>
      <c r="C5137" s="371" t="s">
        <v>2755</v>
      </c>
      <c r="D5137" s="371"/>
      <c r="F5137" s="294"/>
      <c r="G5137" s="301"/>
      <c r="H5137" s="349"/>
      <c r="I5137" s="349"/>
      <c r="J5137" s="291"/>
      <c r="K5137" s="291"/>
      <c r="L5137" s="291"/>
      <c r="M5137" s="291"/>
      <c r="S5137" s="364"/>
      <c r="Z5137" s="609" t="s">
        <v>1995</v>
      </c>
      <c r="AA5137" s="609"/>
    </row>
    <row r="5138" spans="1:27" ht="24">
      <c r="A5138" s="2714" t="s">
        <v>2008</v>
      </c>
      <c r="B5138" s="371">
        <v>4</v>
      </c>
      <c r="C5138" s="371"/>
      <c r="D5138" s="2716" t="str">
        <f>VLOOKUP($A5138,Sheet_NoteList,2,0)</f>
        <v>本期支付的取得子公司的现金净额</v>
      </c>
      <c r="E5138" s="2716" t="s">
        <v>2742</v>
      </c>
      <c r="F5138" s="294"/>
      <c r="G5138" s="372" t="str">
        <f>"("&amp;B5138&amp;")"&amp;D5138</f>
        <v>(4)本期支付的取得子公司的现金净额</v>
      </c>
      <c r="H5138" s="1517" t="str">
        <f>$A5138</f>
        <v>7500g</v>
      </c>
      <c r="I5138" s="343" t="s">
        <v>2743</v>
      </c>
      <c r="J5138" s="301"/>
      <c r="K5138" s="3081"/>
      <c r="L5138" s="315"/>
      <c r="M5138" s="301"/>
      <c r="N5138" s="3081"/>
      <c r="O5138" s="315"/>
      <c r="P5138" s="301"/>
      <c r="S5138" s="364"/>
      <c r="Z5138" s="609" t="s">
        <v>1995</v>
      </c>
      <c r="AA5138" s="609"/>
    </row>
    <row r="5139" spans="1:27" ht="0.75" customHeight="1" thickBot="1">
      <c r="A5139" s="2714"/>
      <c r="B5139" s="371"/>
      <c r="C5139" s="371"/>
      <c r="D5139" s="371"/>
      <c r="F5139" s="304"/>
      <c r="G5139" s="304" t="s">
        <v>4400</v>
      </c>
      <c r="H5139" s="304" t="s">
        <v>3472</v>
      </c>
      <c r="I5139" s="291"/>
      <c r="J5139" s="291"/>
      <c r="K5139" s="291"/>
      <c r="L5139" s="291"/>
      <c r="M5139" s="291"/>
      <c r="S5139" s="364"/>
      <c r="Z5139" s="609" t="s">
        <v>1995</v>
      </c>
      <c r="AA5139" s="609"/>
    </row>
    <row r="5140" spans="1:27" ht="18">
      <c r="A5140" s="2714"/>
      <c r="B5140" s="371"/>
      <c r="C5140" s="371"/>
      <c r="D5140" s="371"/>
      <c r="E5140" s="2716" t="s">
        <v>2749</v>
      </c>
      <c r="F5140" s="294"/>
      <c r="G5140" s="2613" t="s">
        <v>47</v>
      </c>
      <c r="H5140" s="2614" t="s">
        <v>4242</v>
      </c>
      <c r="I5140" s="355" t="s">
        <v>5343</v>
      </c>
      <c r="J5140" s="291"/>
      <c r="K5140" s="291"/>
      <c r="L5140" s="291"/>
      <c r="M5140" s="291"/>
      <c r="S5140" s="364"/>
      <c r="Z5140" s="609" t="s">
        <v>1995</v>
      </c>
      <c r="AA5140" s="609"/>
    </row>
    <row r="5141" spans="1:27" ht="24">
      <c r="A5141" s="2714"/>
      <c r="B5141" s="371">
        <v>101</v>
      </c>
      <c r="C5141" s="371"/>
      <c r="D5141" s="2716">
        <f t="shared" ref="D5141:D5146" si="555">IF(OR(G5141="*",G5141="",G5141=0),0,COUNTIF($G$5141:$G$5146,G5141))</f>
        <v>1</v>
      </c>
      <c r="E5141" s="2721">
        <v>1</v>
      </c>
      <c r="F5141" s="294"/>
      <c r="G5141" s="380" t="s">
        <v>4401</v>
      </c>
      <c r="H5141" s="401"/>
      <c r="I5141" s="291"/>
      <c r="J5141" s="291"/>
      <c r="K5141" s="291"/>
      <c r="L5141" s="291"/>
      <c r="M5141" s="291"/>
      <c r="S5141" s="364"/>
      <c r="Z5141" s="609" t="s">
        <v>1995</v>
      </c>
      <c r="AA5141" s="609"/>
    </row>
    <row r="5142" spans="1:27" ht="24">
      <c r="A5142" s="2714"/>
      <c r="B5142" s="371">
        <v>102</v>
      </c>
      <c r="C5142" s="371"/>
      <c r="D5142" s="2716">
        <f t="shared" si="555"/>
        <v>1</v>
      </c>
      <c r="E5142" s="2721">
        <v>-1</v>
      </c>
      <c r="F5142" s="294"/>
      <c r="G5142" s="380" t="s">
        <v>4402</v>
      </c>
      <c r="H5142" s="401"/>
      <c r="I5142" s="291"/>
      <c r="J5142" s="291"/>
      <c r="K5142" s="291"/>
      <c r="L5142" s="291"/>
      <c r="M5142" s="291"/>
      <c r="S5142" s="364"/>
      <c r="Z5142" s="609" t="s">
        <v>1995</v>
      </c>
      <c r="AA5142" s="609"/>
    </row>
    <row r="5143" spans="1:27" ht="18">
      <c r="A5143" s="2714"/>
      <c r="B5143" s="371">
        <v>103</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36">
      <c r="A5144" s="2714"/>
      <c r="B5144" s="371">
        <v>104</v>
      </c>
      <c r="C5144" s="371"/>
      <c r="D5144" s="2716">
        <f t="shared" si="555"/>
        <v>1</v>
      </c>
      <c r="E5144" s="2721">
        <v>1</v>
      </c>
      <c r="F5144" s="294"/>
      <c r="G5144" s="380" t="s">
        <v>4403</v>
      </c>
      <c r="H5144" s="401"/>
      <c r="I5144" s="291"/>
      <c r="J5144" s="291"/>
      <c r="K5144" s="291"/>
      <c r="L5144" s="291"/>
      <c r="M5144" s="291"/>
      <c r="S5144" s="364"/>
      <c r="Z5144" s="609" t="s">
        <v>1995</v>
      </c>
      <c r="AA5144" s="609"/>
    </row>
    <row r="5145" spans="1:27" ht="18">
      <c r="A5145" s="2714"/>
      <c r="B5145" s="371">
        <v>105</v>
      </c>
      <c r="C5145" s="371" t="s">
        <v>2791</v>
      </c>
      <c r="D5145" s="2716">
        <f t="shared" si="555"/>
        <v>0</v>
      </c>
      <c r="E5145" s="2721">
        <v>1</v>
      </c>
      <c r="F5145" s="294"/>
      <c r="G5145" s="409" t="s">
        <v>2792</v>
      </c>
      <c r="H5145" s="401"/>
      <c r="I5145" s="291"/>
      <c r="J5145" s="291"/>
      <c r="K5145" s="291"/>
      <c r="L5145" s="291"/>
      <c r="M5145" s="291"/>
      <c r="S5145" s="364"/>
      <c r="Z5145" s="609" t="s">
        <v>1995</v>
      </c>
      <c r="AA5145" s="609"/>
    </row>
    <row r="5146" spans="1:27" ht="18.75" thickBot="1">
      <c r="A5146" s="2714"/>
      <c r="B5146" s="371"/>
      <c r="C5146" s="371"/>
      <c r="D5146" s="2716">
        <f t="shared" si="555"/>
        <v>1</v>
      </c>
      <c r="E5146" s="2721" t="s">
        <v>3032</v>
      </c>
      <c r="F5146" s="294"/>
      <c r="G5146" s="2615" t="s">
        <v>4404</v>
      </c>
      <c r="H5146" s="2616">
        <f>SUMPRODUCT($E5140:$E5145,H5140:H5145)</f>
        <v>0</v>
      </c>
      <c r="I5146" s="291"/>
      <c r="J5146" s="291"/>
      <c r="K5146" s="291"/>
      <c r="L5146" s="291"/>
      <c r="M5146" s="291"/>
      <c r="S5146" s="364"/>
      <c r="Z5146" s="609" t="s">
        <v>1995</v>
      </c>
      <c r="AA5146" s="609"/>
    </row>
    <row r="5147" spans="1:27" ht="18">
      <c r="A5147" s="2714"/>
      <c r="B5147" s="371"/>
      <c r="C5147" s="371" t="s">
        <v>2755</v>
      </c>
      <c r="D5147" s="371"/>
      <c r="F5147" s="294"/>
      <c r="G5147" s="301"/>
      <c r="H5147" s="315"/>
      <c r="I5147" s="349"/>
      <c r="J5147" s="291"/>
      <c r="K5147" s="291"/>
      <c r="L5147" s="291"/>
      <c r="M5147" s="291"/>
      <c r="S5147" s="364"/>
      <c r="Z5147" s="609" t="s">
        <v>1995</v>
      </c>
      <c r="AA5147" s="609"/>
    </row>
    <row r="5148" spans="1:27" ht="24">
      <c r="A5148" s="2714" t="s">
        <v>2010</v>
      </c>
      <c r="B5148" s="371">
        <v>5</v>
      </c>
      <c r="C5148" s="371"/>
      <c r="D5148" s="2716" t="str">
        <f>VLOOKUP($A5148,Sheet_NoteList,2,0)</f>
        <v>本期收到的处置子公司的现金净额</v>
      </c>
      <c r="E5148" s="2716" t="s">
        <v>2742</v>
      </c>
      <c r="F5148" s="294"/>
      <c r="G5148" s="372" t="str">
        <f>"("&amp;B5148&amp;")"&amp;D5148</f>
        <v>(5)本期收到的处置子公司的现金净额</v>
      </c>
      <c r="H5148" s="1517" t="str">
        <f>$A5148</f>
        <v>7500h</v>
      </c>
      <c r="I5148" s="343" t="s">
        <v>2743</v>
      </c>
      <c r="J5148" s="301"/>
      <c r="K5148" s="3081"/>
      <c r="L5148" s="315"/>
      <c r="M5148" s="301"/>
      <c r="N5148" s="3081"/>
      <c r="O5148" s="315"/>
      <c r="P5148" s="301"/>
      <c r="S5148" s="364"/>
      <c r="Z5148" s="609" t="s">
        <v>1995</v>
      </c>
      <c r="AA5148" s="609"/>
    </row>
    <row r="5149" spans="1:27" ht="0.75" customHeight="1" thickBot="1">
      <c r="A5149" s="2714"/>
      <c r="B5149" s="371"/>
      <c r="C5149" s="371"/>
      <c r="D5149" s="371"/>
      <c r="F5149" s="304"/>
      <c r="G5149" s="304" t="s">
        <v>4405</v>
      </c>
      <c r="H5149" s="304" t="s">
        <v>3472</v>
      </c>
      <c r="I5149" s="291"/>
      <c r="J5149" s="291"/>
      <c r="K5149" s="291"/>
      <c r="L5149" s="291"/>
      <c r="M5149" s="291"/>
      <c r="S5149" s="364"/>
      <c r="Z5149" s="609" t="s">
        <v>1995</v>
      </c>
      <c r="AA5149" s="609"/>
    </row>
    <row r="5150" spans="1:27" ht="18">
      <c r="A5150" s="2714"/>
      <c r="B5150" s="371"/>
      <c r="C5150" s="371"/>
      <c r="D5150" s="371"/>
      <c r="E5150" s="2716" t="s">
        <v>2749</v>
      </c>
      <c r="F5150" s="294"/>
      <c r="G5150" s="2613" t="s">
        <v>47</v>
      </c>
      <c r="H5150" s="2614" t="s">
        <v>4242</v>
      </c>
      <c r="I5150" s="355" t="s">
        <v>5343</v>
      </c>
      <c r="J5150" s="291"/>
      <c r="K5150" s="291"/>
      <c r="L5150" s="291"/>
      <c r="M5150" s="291"/>
      <c r="S5150" s="364"/>
      <c r="Z5150" s="609" t="s">
        <v>1995</v>
      </c>
      <c r="AA5150" s="609"/>
    </row>
    <row r="5151" spans="1:27" ht="24">
      <c r="A5151" s="2714"/>
      <c r="B5151" s="371">
        <v>101</v>
      </c>
      <c r="C5151" s="371"/>
      <c r="D5151" s="2716">
        <f t="shared" ref="D5151:D5156" si="556">IF(OR(G5151="*",G5151="",G5151=0),0,COUNTIF($G$5151:$G$5156,G5151))</f>
        <v>1</v>
      </c>
      <c r="E5151" s="2721">
        <v>1</v>
      </c>
      <c r="F5151" s="294"/>
      <c r="G5151" s="380" t="s">
        <v>4406</v>
      </c>
      <c r="H5151" s="401"/>
      <c r="I5151" s="291"/>
      <c r="J5151" s="291"/>
      <c r="K5151" s="291"/>
      <c r="L5151" s="291"/>
      <c r="M5151" s="291"/>
      <c r="S5151" s="364"/>
      <c r="Z5151" s="609" t="s">
        <v>1995</v>
      </c>
      <c r="AA5151" s="609"/>
    </row>
    <row r="5152" spans="1:27" ht="24">
      <c r="A5152" s="2714"/>
      <c r="B5152" s="371">
        <v>102</v>
      </c>
      <c r="C5152" s="371"/>
      <c r="D5152" s="2716">
        <f t="shared" si="556"/>
        <v>1</v>
      </c>
      <c r="E5152" s="2721">
        <v>-1</v>
      </c>
      <c r="F5152" s="294"/>
      <c r="G5152" s="380" t="s">
        <v>4407</v>
      </c>
      <c r="H5152" s="401"/>
      <c r="I5152" s="291"/>
      <c r="J5152" s="291"/>
      <c r="K5152" s="291"/>
      <c r="L5152" s="291"/>
      <c r="M5152" s="291"/>
      <c r="S5152" s="364"/>
      <c r="Z5152" s="609" t="s">
        <v>1995</v>
      </c>
      <c r="AA5152" s="609"/>
    </row>
    <row r="5153" spans="1:27" ht="18">
      <c r="A5153" s="2714"/>
      <c r="B5153" s="371">
        <v>103</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24">
      <c r="A5154" s="2714"/>
      <c r="B5154" s="371">
        <v>104</v>
      </c>
      <c r="C5154" s="371"/>
      <c r="D5154" s="2716">
        <f t="shared" si="556"/>
        <v>1</v>
      </c>
      <c r="E5154" s="2721">
        <v>1</v>
      </c>
      <c r="F5154" s="294"/>
      <c r="G5154" s="380" t="s">
        <v>4408</v>
      </c>
      <c r="H5154" s="401"/>
      <c r="I5154" s="291"/>
      <c r="J5154" s="291"/>
      <c r="K5154" s="291"/>
      <c r="L5154" s="291"/>
      <c r="M5154" s="291"/>
      <c r="S5154" s="364"/>
      <c r="Z5154" s="609" t="s">
        <v>1995</v>
      </c>
      <c r="AA5154" s="609"/>
    </row>
    <row r="5155" spans="1:27" ht="18">
      <c r="A5155" s="2714"/>
      <c r="B5155" s="371">
        <v>105</v>
      </c>
      <c r="C5155" s="371" t="s">
        <v>2791</v>
      </c>
      <c r="D5155" s="2716">
        <f t="shared" si="556"/>
        <v>0</v>
      </c>
      <c r="E5155" s="2721">
        <v>1</v>
      </c>
      <c r="F5155" s="294"/>
      <c r="G5155" s="409" t="s">
        <v>2792</v>
      </c>
      <c r="H5155" s="401"/>
      <c r="I5155" s="291"/>
      <c r="J5155" s="291"/>
      <c r="K5155" s="291"/>
      <c r="L5155" s="291"/>
      <c r="M5155" s="291"/>
      <c r="S5155" s="364"/>
      <c r="Z5155" s="609" t="s">
        <v>1995</v>
      </c>
      <c r="AA5155" s="609"/>
    </row>
    <row r="5156" spans="1:27" ht="18.75" thickBot="1">
      <c r="A5156" s="2714"/>
      <c r="B5156" s="371"/>
      <c r="C5156" s="371"/>
      <c r="D5156" s="2716">
        <f t="shared" si="556"/>
        <v>1</v>
      </c>
      <c r="E5156" s="2721" t="s">
        <v>3032</v>
      </c>
      <c r="F5156" s="294"/>
      <c r="G5156" s="2615" t="s">
        <v>4409</v>
      </c>
      <c r="H5156" s="2616">
        <f>SUMPRODUCT($E5150:$E5155,H5150:H5155)</f>
        <v>0</v>
      </c>
      <c r="I5156" s="291"/>
      <c r="J5156" s="291"/>
      <c r="K5156" s="291"/>
      <c r="L5156" s="291"/>
      <c r="M5156" s="291"/>
      <c r="S5156" s="364"/>
      <c r="Z5156" s="609" t="s">
        <v>1995</v>
      </c>
      <c r="AA5156" s="609"/>
    </row>
    <row r="5157" spans="1:27" ht="18">
      <c r="A5157" s="2714"/>
      <c r="B5157" s="371"/>
      <c r="C5157" s="371" t="s">
        <v>2755</v>
      </c>
      <c r="D5157" s="371"/>
      <c r="F5157" s="294"/>
      <c r="G5157" s="301"/>
      <c r="H5157" s="315"/>
      <c r="I5157" s="349"/>
      <c r="J5157" s="291"/>
      <c r="K5157" s="291"/>
      <c r="L5157" s="291"/>
      <c r="M5157" s="291"/>
      <c r="S5157" s="364"/>
      <c r="Z5157" s="609" t="s">
        <v>1995</v>
      </c>
      <c r="AA5157" s="609"/>
    </row>
    <row r="5158" spans="1:27" ht="24">
      <c r="A5158" s="2714" t="s">
        <v>2003</v>
      </c>
      <c r="B5158" s="371">
        <v>6</v>
      </c>
      <c r="C5158" s="371"/>
      <c r="D5158" s="2716" t="str">
        <f>VLOOKUP($A5158,Sheet_NoteList,2,0)</f>
        <v>现金及现金等价物的构成</v>
      </c>
      <c r="E5158" s="2716" t="s">
        <v>2742</v>
      </c>
      <c r="F5158" s="294"/>
      <c r="G5158" s="372" t="str">
        <f>"("&amp;B5158&amp;")"&amp;D5158</f>
        <v>(6)现金及现金等价物的构成</v>
      </c>
      <c r="H5158" s="1517" t="str">
        <f>$A5158</f>
        <v>7500e</v>
      </c>
      <c r="I5158" s="343" t="s">
        <v>2743</v>
      </c>
      <c r="J5158" s="301"/>
      <c r="K5158" s="3081"/>
      <c r="L5158" s="315"/>
      <c r="M5158" s="301"/>
      <c r="N5158" s="3081"/>
      <c r="O5158" s="315"/>
      <c r="P5158" s="301"/>
      <c r="Q5158" s="290" t="str">
        <f ca="1">IF($I5158="不适用","",IF(ROUND(SUM($H$5161:$I$5172),2)=0,"请输入",""))</f>
        <v>请输入</v>
      </c>
      <c r="S5158" s="364"/>
      <c r="Z5158" s="609" t="s">
        <v>1995</v>
      </c>
      <c r="AA5158" s="609"/>
    </row>
    <row r="5159" spans="1:27" ht="0.75" customHeight="1" thickBot="1">
      <c r="A5159" s="2714"/>
      <c r="B5159" s="371"/>
      <c r="C5159" s="371"/>
      <c r="D5159" s="371"/>
      <c r="F5159" s="371"/>
      <c r="G5159" s="371" t="s">
        <v>4410</v>
      </c>
      <c r="H5159" s="371" t="s">
        <v>3472</v>
      </c>
      <c r="I5159" s="371" t="s">
        <v>3473</v>
      </c>
      <c r="J5159" s="291"/>
      <c r="K5159" s="291"/>
      <c r="L5159" s="291"/>
      <c r="M5159" s="291"/>
      <c r="S5159" s="364"/>
      <c r="Z5159" s="609" t="s">
        <v>1995</v>
      </c>
      <c r="AA5159" s="609"/>
    </row>
    <row r="5160" spans="1:27" ht="18">
      <c r="A5160" s="2714"/>
      <c r="B5160" s="371"/>
      <c r="C5160" s="371"/>
      <c r="D5160" s="371"/>
      <c r="E5160" s="2716" t="s">
        <v>2749</v>
      </c>
      <c r="F5160" s="294"/>
      <c r="G5160" s="378" t="s">
        <v>47</v>
      </c>
      <c r="H5160" s="2473" t="str">
        <f>$V$2</f>
        <v>2019年12月31日</v>
      </c>
      <c r="I5160" s="1456" t="str">
        <f>$V$3</f>
        <v>2018年12月31日</v>
      </c>
      <c r="J5160" s="355" t="s">
        <v>5343</v>
      </c>
      <c r="K5160" s="291"/>
      <c r="L5160" s="291"/>
      <c r="M5160" s="291"/>
      <c r="S5160" s="364"/>
      <c r="Z5160" s="609" t="s">
        <v>1995</v>
      </c>
      <c r="AA5160" s="609"/>
    </row>
    <row r="5161" spans="1:27" ht="18">
      <c r="A5161" s="2714"/>
      <c r="B5161" s="371">
        <v>101</v>
      </c>
      <c r="C5161" s="371" t="s">
        <v>2793</v>
      </c>
      <c r="D5161" s="2716">
        <f t="shared" ref="D5161:D5172" si="557">IF(OR(G5161="*",G5161="",G5161=0),0,COUNTIF($G$5161:$G$5172,G5161))</f>
        <v>1</v>
      </c>
      <c r="E5161" s="2721">
        <v>1</v>
      </c>
      <c r="F5161" s="294"/>
      <c r="G5161" s="380" t="s">
        <v>4411</v>
      </c>
      <c r="H5161" s="561">
        <f ca="1">SUMIF($E$5161:$E$5172,$G5161,H$5161:H$5170)</f>
        <v>0</v>
      </c>
      <c r="I5161" s="562">
        <f ca="1">SUMIF($E$5161:$E$5172,$G5161,I$5161:I$5170)</f>
        <v>0</v>
      </c>
      <c r="J5161" s="291"/>
      <c r="K5161" s="291"/>
      <c r="L5161" s="291"/>
      <c r="M5161" s="291"/>
      <c r="S5161" s="364"/>
      <c r="Z5161" s="609" t="s">
        <v>1995</v>
      </c>
      <c r="AA5161" s="609"/>
    </row>
    <row r="5162" spans="1:27" ht="18">
      <c r="A5162" s="2714"/>
      <c r="B5162" s="371">
        <v>101.001</v>
      </c>
      <c r="C5162" s="371"/>
      <c r="D5162" s="2716">
        <f t="shared" si="557"/>
        <v>1</v>
      </c>
      <c r="E5162" s="2721" t="s">
        <v>4411</v>
      </c>
      <c r="F5162" s="294"/>
      <c r="G5162" s="380" t="s">
        <v>4412</v>
      </c>
      <c r="H5162" s="383"/>
      <c r="I5162" s="401"/>
      <c r="J5162" s="291"/>
      <c r="K5162" s="291"/>
      <c r="L5162" s="291"/>
      <c r="M5162" s="291"/>
      <c r="S5162" s="364"/>
      <c r="Z5162" s="609" t="s">
        <v>1995</v>
      </c>
      <c r="AA5162" s="609"/>
    </row>
    <row r="5163" spans="1:27" ht="18">
      <c r="A5163" s="2714"/>
      <c r="B5163" s="371">
        <v>101.002</v>
      </c>
      <c r="C5163" s="371"/>
      <c r="D5163" s="2716">
        <f t="shared" si="557"/>
        <v>1</v>
      </c>
      <c r="E5163" s="2721" t="s">
        <v>4411</v>
      </c>
      <c r="F5163" s="294"/>
      <c r="G5163" s="380" t="s">
        <v>4413</v>
      </c>
      <c r="H5163" s="383"/>
      <c r="I5163" s="401"/>
      <c r="J5163" s="291"/>
      <c r="K5163" s="291"/>
      <c r="L5163" s="291"/>
      <c r="M5163" s="291"/>
      <c r="S5163" s="364"/>
      <c r="Z5163" s="609" t="s">
        <v>1995</v>
      </c>
      <c r="AA5163" s="609"/>
    </row>
    <row r="5164" spans="1:27" ht="24">
      <c r="A5164" s="2714"/>
      <c r="B5164" s="371">
        <v>101.003</v>
      </c>
      <c r="C5164" s="371"/>
      <c r="D5164" s="2716">
        <f t="shared" si="557"/>
        <v>1</v>
      </c>
      <c r="E5164" s="2721" t="s">
        <v>4411</v>
      </c>
      <c r="F5164" s="294"/>
      <c r="G5164" s="380" t="s">
        <v>4414</v>
      </c>
      <c r="H5164" s="383"/>
      <c r="I5164" s="401"/>
      <c r="J5164" s="291"/>
      <c r="K5164" s="291"/>
      <c r="L5164" s="291"/>
      <c r="M5164" s="291"/>
      <c r="S5164" s="364"/>
      <c r="Z5164" s="609" t="s">
        <v>1995</v>
      </c>
      <c r="AA5164" s="609"/>
    </row>
    <row r="5165" spans="1:27" ht="24">
      <c r="A5165" s="2714"/>
      <c r="B5165" s="371">
        <v>101.004</v>
      </c>
      <c r="C5165" s="371"/>
      <c r="D5165" s="2716">
        <f t="shared" si="557"/>
        <v>1</v>
      </c>
      <c r="E5165" s="2721" t="s">
        <v>4411</v>
      </c>
      <c r="F5165" s="294"/>
      <c r="G5165" s="380" t="s">
        <v>4415</v>
      </c>
      <c r="H5165" s="383"/>
      <c r="I5165" s="401"/>
      <c r="J5165" s="291"/>
      <c r="K5165" s="291"/>
      <c r="L5165" s="291"/>
      <c r="M5165" s="291"/>
      <c r="S5165" s="364"/>
      <c r="Z5165" s="609" t="s">
        <v>1995</v>
      </c>
      <c r="AA5165" s="609"/>
    </row>
    <row r="5166" spans="1:27" ht="18">
      <c r="A5166" s="2714"/>
      <c r="B5166" s="371">
        <v>101.005</v>
      </c>
      <c r="C5166" s="371"/>
      <c r="D5166" s="2716">
        <f t="shared" si="557"/>
        <v>1</v>
      </c>
      <c r="E5166" s="2721" t="s">
        <v>4411</v>
      </c>
      <c r="F5166" s="294"/>
      <c r="G5166" s="380" t="s">
        <v>4416</v>
      </c>
      <c r="H5166" s="383"/>
      <c r="I5166" s="401"/>
      <c r="J5166" s="291"/>
      <c r="K5166" s="291"/>
      <c r="L5166" s="291"/>
      <c r="M5166" s="291"/>
      <c r="S5166" s="364"/>
      <c r="Z5166" s="609" t="s">
        <v>1995</v>
      </c>
      <c r="AA5166" s="609"/>
    </row>
    <row r="5167" spans="1:27" ht="18">
      <c r="A5167" s="2714"/>
      <c r="B5167" s="371">
        <v>101.006</v>
      </c>
      <c r="C5167" s="371"/>
      <c r="D5167" s="2716">
        <f t="shared" si="557"/>
        <v>1</v>
      </c>
      <c r="E5167" s="2721" t="s">
        <v>4411</v>
      </c>
      <c r="F5167" s="294"/>
      <c r="G5167" s="380" t="s">
        <v>4417</v>
      </c>
      <c r="H5167" s="383"/>
      <c r="I5167" s="401"/>
      <c r="J5167" s="291"/>
      <c r="K5167" s="291"/>
      <c r="L5167" s="291"/>
      <c r="M5167" s="291"/>
      <c r="S5167" s="364"/>
      <c r="Z5167" s="609" t="s">
        <v>1995</v>
      </c>
      <c r="AA5167" s="609"/>
    </row>
    <row r="5168" spans="1:27" ht="18">
      <c r="A5168" s="2714"/>
      <c r="B5168" s="371">
        <v>102</v>
      </c>
      <c r="C5168" s="371"/>
      <c r="D5168" s="2716">
        <f t="shared" si="557"/>
        <v>1</v>
      </c>
      <c r="E5168" s="2721">
        <v>0</v>
      </c>
      <c r="F5168" s="294"/>
      <c r="G5168" s="380" t="s">
        <v>4418</v>
      </c>
      <c r="H5168" s="383"/>
      <c r="I5168" s="401"/>
      <c r="J5168" s="291"/>
      <c r="K5168" s="291"/>
      <c r="L5168" s="291"/>
      <c r="M5168" s="291"/>
      <c r="S5168" s="364"/>
      <c r="Z5168" s="609" t="s">
        <v>1995</v>
      </c>
      <c r="AA5168" s="609"/>
    </row>
    <row r="5169" spans="1:27" ht="24">
      <c r="A5169" s="2714"/>
      <c r="B5169" s="371">
        <v>103</v>
      </c>
      <c r="C5169" s="371"/>
      <c r="D5169" s="2716">
        <f t="shared" si="557"/>
        <v>1</v>
      </c>
      <c r="E5169" s="2721">
        <v>0</v>
      </c>
      <c r="F5169" s="294"/>
      <c r="G5169" s="380" t="s">
        <v>4419</v>
      </c>
      <c r="H5169" s="383"/>
      <c r="I5169" s="401"/>
      <c r="J5169" s="291"/>
      <c r="K5169" s="291"/>
      <c r="L5169" s="291"/>
      <c r="M5169" s="291"/>
      <c r="S5169" s="364"/>
      <c r="Z5169" s="609" t="s">
        <v>1995</v>
      </c>
      <c r="AA5169" s="609"/>
    </row>
    <row r="5170" spans="1:27" ht="24">
      <c r="A5170" s="2714"/>
      <c r="B5170" s="371">
        <v>104</v>
      </c>
      <c r="C5170" s="371"/>
      <c r="D5170" s="2716">
        <f t="shared" si="557"/>
        <v>1</v>
      </c>
      <c r="E5170" s="2721">
        <v>0</v>
      </c>
      <c r="F5170" s="294"/>
      <c r="G5170" s="380" t="s">
        <v>4420</v>
      </c>
      <c r="H5170" s="561">
        <f ca="1">H5161+H5168</f>
        <v>0</v>
      </c>
      <c r="I5170" s="562">
        <f ca="1">I5161+I5168</f>
        <v>0</v>
      </c>
      <c r="J5170" s="291"/>
      <c r="K5170" s="291"/>
      <c r="L5170" s="291"/>
      <c r="M5170" s="291"/>
      <c r="S5170" s="364"/>
      <c r="Z5170" s="609" t="s">
        <v>1995</v>
      </c>
      <c r="AA5170" s="609"/>
    </row>
    <row r="5171" spans="1:27" ht="36">
      <c r="A5171" s="2714"/>
      <c r="B5171" s="371">
        <v>105</v>
      </c>
      <c r="C5171" s="371"/>
      <c r="D5171" s="2716">
        <f t="shared" si="557"/>
        <v>1</v>
      </c>
      <c r="E5171" s="2721">
        <v>0</v>
      </c>
      <c r="F5171" s="294"/>
      <c r="G5171" s="620" t="s">
        <v>4421</v>
      </c>
      <c r="H5171" s="621"/>
      <c r="I5171" s="622"/>
      <c r="J5171" s="291"/>
      <c r="K5171" s="291"/>
      <c r="L5171" s="291"/>
      <c r="M5171" s="291"/>
      <c r="S5171" s="364"/>
      <c r="Z5171" s="609" t="s">
        <v>1995</v>
      </c>
      <c r="AA5171" s="609"/>
    </row>
    <row r="5172" spans="1:27" ht="18.75" thickBot="1">
      <c r="A5172" s="2714"/>
      <c r="B5172" s="371"/>
      <c r="C5172" s="371"/>
      <c r="D5172" s="2716">
        <f t="shared" si="557"/>
        <v>0</v>
      </c>
      <c r="E5172" s="2721" t="s">
        <v>3595</v>
      </c>
      <c r="F5172" s="294"/>
      <c r="G5172" s="2682"/>
      <c r="H5172" s="2683"/>
      <c r="I5172" s="2684"/>
      <c r="J5172" s="291"/>
      <c r="K5172" s="291"/>
      <c r="L5172" s="291"/>
      <c r="M5172" s="291"/>
      <c r="S5172" s="364"/>
      <c r="Z5172" s="609" t="s">
        <v>1995</v>
      </c>
      <c r="AA5172" s="609"/>
    </row>
    <row r="5173" spans="1:27" ht="18">
      <c r="A5173" s="2714"/>
      <c r="B5173" s="371"/>
      <c r="C5173" s="371" t="s">
        <v>2755</v>
      </c>
      <c r="D5173" s="371"/>
      <c r="F5173" s="294"/>
      <c r="G5173" s="301"/>
      <c r="H5173" s="349"/>
      <c r="I5173" s="349"/>
      <c r="J5173" s="291"/>
      <c r="K5173" s="291"/>
      <c r="L5173" s="291"/>
      <c r="M5173" s="291"/>
      <c r="S5173" s="364"/>
      <c r="Z5173" s="609" t="s">
        <v>1995</v>
      </c>
      <c r="AA5173" s="609"/>
    </row>
    <row r="5174" spans="1:27" ht="24">
      <c r="A5174" s="2714" t="s">
        <v>2006</v>
      </c>
      <c r="B5174" s="371">
        <v>7</v>
      </c>
      <c r="C5174" s="371"/>
      <c r="D5174" s="2716" t="str">
        <f>VLOOKUP($A5174,Sheet_NoteList,2,0)</f>
        <v>货币资金与现金及现金等价物的调节</v>
      </c>
      <c r="E5174" s="2716" t="s">
        <v>6532</v>
      </c>
      <c r="F5174" s="294"/>
      <c r="G5174" s="372" t="str">
        <f>"("&amp;B5174&amp;")"&amp;D5174</f>
        <v>(7)货币资金与现金及现金等价物的调节</v>
      </c>
      <c r="H5174" s="1517" t="str">
        <f>$A5174</f>
        <v>7500f</v>
      </c>
      <c r="I5174" s="343" t="s">
        <v>5974</v>
      </c>
      <c r="J5174" s="301"/>
      <c r="K5174" s="3081"/>
      <c r="L5174" s="315"/>
      <c r="M5174" s="301"/>
      <c r="N5174" s="3081"/>
      <c r="O5174" s="315"/>
      <c r="P5174" s="301"/>
      <c r="S5174" s="364"/>
      <c r="Z5174" s="609" t="s">
        <v>1995</v>
      </c>
      <c r="AA5174" s="609"/>
    </row>
    <row r="5175" spans="1:27" ht="0.75" customHeight="1" thickBot="1">
      <c r="A5175" s="2714"/>
      <c r="B5175" s="371"/>
      <c r="C5175" s="371"/>
      <c r="D5175" s="371"/>
      <c r="E5175" s="586"/>
      <c r="F5175" s="586"/>
      <c r="G5175" s="586" t="s">
        <v>4422</v>
      </c>
      <c r="H5175" s="371" t="s">
        <v>3472</v>
      </c>
      <c r="I5175" s="291"/>
      <c r="J5175" s="291"/>
      <c r="K5175" s="291"/>
      <c r="L5175" s="291"/>
      <c r="M5175" s="291"/>
      <c r="S5175" s="364"/>
      <c r="Z5175" s="609" t="s">
        <v>1995</v>
      </c>
      <c r="AA5175" s="609"/>
    </row>
    <row r="5176" spans="1:27" ht="18">
      <c r="A5176" s="2714"/>
      <c r="B5176" s="371"/>
      <c r="C5176" s="371"/>
      <c r="D5176" s="371"/>
      <c r="E5176" s="586" t="s">
        <v>2749</v>
      </c>
      <c r="F5176" s="363"/>
      <c r="G5176" s="2458" t="s">
        <v>47</v>
      </c>
      <c r="H5176" s="2460" t="s">
        <v>2887</v>
      </c>
      <c r="I5176" s="343" t="s">
        <v>4423</v>
      </c>
      <c r="J5176" s="291"/>
      <c r="K5176" s="291"/>
      <c r="L5176" s="291"/>
      <c r="M5176" s="291"/>
      <c r="S5176" s="364"/>
      <c r="Z5176" s="609" t="s">
        <v>1995</v>
      </c>
      <c r="AA5176" s="609"/>
    </row>
    <row r="5177" spans="1:27" ht="18">
      <c r="A5177" s="2714"/>
      <c r="B5177" s="371">
        <v>101</v>
      </c>
      <c r="C5177" s="371"/>
      <c r="D5177" s="2716">
        <f t="shared" ref="D5177:D5182" si="558">IF(OR(G5177="*",G5177="",G5177=0),0,COUNTIF($G$5177:$G$5182,G5177))</f>
        <v>1</v>
      </c>
      <c r="E5177" s="2721">
        <v>1</v>
      </c>
      <c r="F5177" s="294"/>
      <c r="G5177" s="1474" t="s">
        <v>4424</v>
      </c>
      <c r="H5177" s="2296"/>
      <c r="I5177" s="579"/>
      <c r="J5177" s="291"/>
      <c r="K5177" s="291"/>
      <c r="L5177" s="291"/>
      <c r="M5177" s="291"/>
      <c r="S5177" s="364"/>
      <c r="Z5177" s="609" t="s">
        <v>1995</v>
      </c>
      <c r="AA5177" s="609"/>
    </row>
    <row r="5178" spans="1:27" ht="18">
      <c r="A5178" s="2714"/>
      <c r="B5178" s="371">
        <v>102</v>
      </c>
      <c r="C5178" s="371"/>
      <c r="D5178" s="2716">
        <f t="shared" si="558"/>
        <v>1</v>
      </c>
      <c r="E5178" s="2721">
        <v>-1</v>
      </c>
      <c r="F5178" s="294"/>
      <c r="G5178" s="1474" t="s">
        <v>4425</v>
      </c>
      <c r="H5178" s="2296"/>
      <c r="I5178" s="291"/>
      <c r="J5178" s="291"/>
      <c r="K5178" s="291"/>
      <c r="L5178" s="291"/>
      <c r="M5178" s="291"/>
      <c r="S5178" s="364"/>
      <c r="Z5178" s="609" t="s">
        <v>1995</v>
      </c>
      <c r="AA5178" s="609"/>
    </row>
    <row r="5179" spans="1:27" ht="18">
      <c r="A5179" s="2714"/>
      <c r="B5179" s="371">
        <v>103</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24">
      <c r="A5180" s="2714"/>
      <c r="B5180" s="371">
        <v>104</v>
      </c>
      <c r="C5180" s="371"/>
      <c r="D5180" s="2716">
        <f t="shared" si="558"/>
        <v>1</v>
      </c>
      <c r="E5180" s="2721">
        <v>1</v>
      </c>
      <c r="F5180" s="294"/>
      <c r="G5180" s="1474" t="s">
        <v>4426</v>
      </c>
      <c r="H5180" s="2296"/>
      <c r="I5180" s="291"/>
      <c r="J5180" s="291"/>
      <c r="K5180" s="291"/>
      <c r="L5180" s="291"/>
      <c r="M5180" s="291"/>
      <c r="S5180" s="364"/>
      <c r="Z5180" s="609" t="s">
        <v>1995</v>
      </c>
      <c r="AA5180" s="609"/>
    </row>
    <row r="5181" spans="1:27" ht="18">
      <c r="A5181" s="2714"/>
      <c r="B5181" s="371">
        <v>105</v>
      </c>
      <c r="C5181" s="371" t="s">
        <v>2791</v>
      </c>
      <c r="D5181" s="2716">
        <f t="shared" si="558"/>
        <v>0</v>
      </c>
      <c r="E5181" s="2721">
        <v>1</v>
      </c>
      <c r="F5181" s="294"/>
      <c r="G5181" s="2467" t="s">
        <v>2792</v>
      </c>
      <c r="H5181" s="2296"/>
      <c r="I5181" s="291"/>
      <c r="J5181" s="291"/>
      <c r="K5181" s="291"/>
      <c r="L5181" s="291"/>
      <c r="M5181" s="291"/>
      <c r="S5181" s="364"/>
      <c r="Z5181" s="609" t="s">
        <v>1995</v>
      </c>
      <c r="AA5181" s="609"/>
    </row>
    <row r="5182" spans="1:27" ht="18.75" thickBot="1">
      <c r="A5182" s="2714"/>
      <c r="B5182" s="371"/>
      <c r="C5182" s="371"/>
      <c r="D5182" s="2716">
        <f t="shared" si="558"/>
        <v>1</v>
      </c>
      <c r="E5182" s="2721" t="s">
        <v>3032</v>
      </c>
      <c r="F5182" s="294"/>
      <c r="G5182" s="1529" t="s">
        <v>2272</v>
      </c>
      <c r="H5182" s="1528">
        <f>SUMPRODUCT($E5176:$E5181,H5176:H5181)</f>
        <v>0</v>
      </c>
      <c r="I5182" s="291"/>
      <c r="J5182" s="291"/>
      <c r="K5182" s="291"/>
      <c r="L5182" s="291"/>
      <c r="M5182" s="291"/>
      <c r="S5182" s="364"/>
      <c r="Z5182" s="609" t="s">
        <v>1995</v>
      </c>
      <c r="AA5182" s="609"/>
    </row>
    <row r="5183" spans="1:27" ht="18">
      <c r="A5183" s="2714"/>
      <c r="B5183" s="371"/>
      <c r="C5183" s="371" t="s">
        <v>2755</v>
      </c>
      <c r="D5183" s="371"/>
      <c r="F5183" s="294"/>
      <c r="G5183" s="301"/>
      <c r="H5183" s="315"/>
      <c r="I5183" s="291"/>
      <c r="J5183" s="291"/>
      <c r="K5183" s="291"/>
      <c r="L5183" s="291"/>
      <c r="M5183" s="291"/>
      <c r="S5183" s="364"/>
      <c r="Z5183" s="609" t="s">
        <v>1995</v>
      </c>
      <c r="AA5183" s="609"/>
    </row>
    <row r="5184" spans="1:27" ht="24">
      <c r="A5184" s="2714">
        <v>9314</v>
      </c>
      <c r="B5184" s="371">
        <v>80</v>
      </c>
      <c r="C5184" s="2716" t="str">
        <f>VLOOKUP($A5184,Sheet_Items,2,0)</f>
        <v>所有者权益变动表项目注释</v>
      </c>
      <c r="D5184" s="371"/>
      <c r="E5184" s="2716" t="s">
        <v>2739</v>
      </c>
      <c r="F5184" s="294"/>
      <c r="G5184" s="305" t="str">
        <f>B5184&amp;" "&amp;C5184</f>
        <v>80 所有者权益变动表项目注释</v>
      </c>
      <c r="H5184" s="306"/>
      <c r="I5184" s="306"/>
      <c r="J5184" s="306"/>
      <c r="K5184" s="539"/>
      <c r="L5184" s="342"/>
      <c r="M5184" s="306"/>
      <c r="N5184" s="539"/>
      <c r="O5184" s="306"/>
      <c r="P5184" s="301"/>
      <c r="S5184" s="364"/>
      <c r="Z5184" s="609" t="s">
        <v>2101</v>
      </c>
      <c r="AA5184" s="609"/>
    </row>
    <row r="5185" spans="1:27" ht="24">
      <c r="A5185" s="2714" t="s">
        <v>2100</v>
      </c>
      <c r="B5185" s="371">
        <v>1</v>
      </c>
      <c r="C5185" s="371"/>
      <c r="D5185" s="2716" t="str">
        <f>VLOOKUP($A5185,Sheet_NoteList,2,0)</f>
        <v>所有者权益变动表项目注释</v>
      </c>
      <c r="E5185" s="2716" t="s">
        <v>2742</v>
      </c>
      <c r="F5185" s="294"/>
      <c r="G5185" s="372" t="str">
        <f>"("&amp;B5185&amp;")"&amp;D5185</f>
        <v>(1)所有者权益变动表项目注释</v>
      </c>
      <c r="H5185" s="1517" t="str">
        <f>$A5185</f>
        <v>9314a</v>
      </c>
      <c r="I5185" s="343" t="s">
        <v>2743</v>
      </c>
      <c r="J5185" s="301"/>
      <c r="K5185" s="3081"/>
      <c r="L5185" s="315"/>
      <c r="M5185" s="301"/>
      <c r="N5185" s="3081"/>
      <c r="O5185" s="315"/>
      <c r="P5185" s="301"/>
      <c r="S5185" s="364"/>
      <c r="Z5185" s="609" t="s">
        <v>2101</v>
      </c>
      <c r="AA5185" s="609"/>
    </row>
    <row r="5186" spans="1:27" ht="0.75" customHeight="1" thickBot="1">
      <c r="A5186" s="2714"/>
      <c r="B5186" s="371"/>
      <c r="C5186" s="371"/>
      <c r="D5186" s="371"/>
      <c r="E5186" s="586"/>
      <c r="F5186" s="518"/>
      <c r="G5186" s="518" t="s">
        <v>4427</v>
      </c>
      <c r="H5186" s="304" t="s">
        <v>2849</v>
      </c>
      <c r="I5186" s="304" t="s">
        <v>3235</v>
      </c>
      <c r="M5186" s="291"/>
      <c r="N5186" s="291"/>
      <c r="O5186" s="291"/>
      <c r="P5186" s="291"/>
      <c r="S5186" s="364"/>
      <c r="Z5186" s="609" t="s">
        <v>2101</v>
      </c>
      <c r="AA5186" s="609"/>
    </row>
    <row r="5187" spans="1:27" ht="18">
      <c r="A5187" s="2714"/>
      <c r="B5187" s="371"/>
      <c r="C5187" s="371"/>
      <c r="D5187" s="371"/>
      <c r="E5187" s="586" t="s">
        <v>2749</v>
      </c>
      <c r="F5187" s="363"/>
      <c r="G5187" s="2570" t="s">
        <v>47</v>
      </c>
      <c r="H5187" s="2566" t="s">
        <v>2887</v>
      </c>
      <c r="I5187" s="2565" t="s">
        <v>2758</v>
      </c>
      <c r="J5187" s="355" t="s">
        <v>5344</v>
      </c>
      <c r="M5187" s="291"/>
      <c r="N5187" s="291"/>
      <c r="O5187" s="291"/>
      <c r="P5187" s="291"/>
      <c r="S5187" s="364"/>
      <c r="Z5187" s="609" t="s">
        <v>2101</v>
      </c>
      <c r="AA5187" s="609"/>
    </row>
    <row r="5188" spans="1:27" ht="24">
      <c r="A5188" s="2714"/>
      <c r="B5188" s="371">
        <v>101</v>
      </c>
      <c r="C5188" s="371" t="s">
        <v>2791</v>
      </c>
      <c r="D5188" s="2716">
        <f t="shared" ref="D5188:D5193" si="559">IF(OR(G5188="*",G5188="",G5188=0),0,COUNTIF($G$5188:$G$5193,G5188))</f>
        <v>1</v>
      </c>
      <c r="E5188" s="2721">
        <v>1</v>
      </c>
      <c r="F5188" s="294"/>
      <c r="G5188" s="2568" t="s">
        <v>4428</v>
      </c>
      <c r="H5188" s="2275"/>
      <c r="I5188" s="2276"/>
      <c r="J5188" s="355" t="s">
        <v>6141</v>
      </c>
      <c r="M5188" s="291"/>
      <c r="N5188" s="291"/>
      <c r="O5188" s="291"/>
      <c r="P5188" s="291"/>
      <c r="S5188" s="364"/>
      <c r="Z5188" s="609" t="s">
        <v>2101</v>
      </c>
      <c r="AA5188" s="609"/>
    </row>
    <row r="5189" spans="1:27" ht="18">
      <c r="A5189" s="2714"/>
      <c r="B5189" s="371">
        <v>102</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103</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
      <c r="A5191" s="2714"/>
      <c r="B5191" s="371">
        <v>104</v>
      </c>
      <c r="C5191" s="371" t="s">
        <v>2791</v>
      </c>
      <c r="D5191" s="2716">
        <f t="shared" si="559"/>
        <v>0</v>
      </c>
      <c r="E5191" s="2721">
        <v>1</v>
      </c>
      <c r="F5191" s="294"/>
      <c r="G5191" s="2568" t="s">
        <v>2792</v>
      </c>
      <c r="H5191" s="2275"/>
      <c r="I5191" s="2276"/>
      <c r="M5191" s="291"/>
      <c r="N5191" s="291"/>
      <c r="O5191" s="291"/>
      <c r="P5191" s="291"/>
      <c r="S5191" s="364"/>
      <c r="Z5191" s="609" t="s">
        <v>2101</v>
      </c>
      <c r="AA5191" s="609"/>
    </row>
    <row r="5192" spans="1:27" ht="18">
      <c r="A5192" s="2714"/>
      <c r="B5192" s="371">
        <v>105</v>
      </c>
      <c r="C5192" s="371" t="s">
        <v>2791</v>
      </c>
      <c r="D5192" s="2716">
        <f t="shared" si="559"/>
        <v>0</v>
      </c>
      <c r="E5192" s="2721">
        <v>1</v>
      </c>
      <c r="F5192" s="294"/>
      <c r="G5192" s="2568" t="s">
        <v>2792</v>
      </c>
      <c r="H5192" s="2275"/>
      <c r="I5192" s="2276"/>
      <c r="M5192" s="291"/>
      <c r="N5192" s="291"/>
      <c r="O5192" s="291"/>
      <c r="P5192" s="291"/>
      <c r="S5192" s="364"/>
      <c r="Z5192" s="609" t="s">
        <v>2101</v>
      </c>
      <c r="AA5192" s="609"/>
    </row>
    <row r="5193" spans="1:27" ht="18.75" thickBot="1">
      <c r="A5193" s="2714"/>
      <c r="B5193" s="371"/>
      <c r="C5193" s="371"/>
      <c r="D5193" s="2716">
        <f t="shared" si="559"/>
        <v>1</v>
      </c>
      <c r="E5193" s="2721" t="s">
        <v>3032</v>
      </c>
      <c r="F5193" s="294"/>
      <c r="G5193" s="1529" t="s">
        <v>2752</v>
      </c>
      <c r="H5193" s="1527">
        <f>SUMPRODUCT($E5187:$E5192,H5187:H5192)</f>
        <v>0</v>
      </c>
      <c r="I5193" s="2266"/>
      <c r="M5193" s="291"/>
      <c r="N5193" s="291"/>
      <c r="O5193" s="291"/>
      <c r="P5193" s="291"/>
      <c r="S5193" s="364"/>
      <c r="Z5193" s="609" t="s">
        <v>2101</v>
      </c>
      <c r="AA5193" s="609"/>
    </row>
    <row r="5194" spans="1:27" ht="18">
      <c r="A5194" s="2714"/>
      <c r="B5194" s="371"/>
      <c r="C5194" s="371" t="s">
        <v>2755</v>
      </c>
      <c r="D5194" s="371"/>
      <c r="F5194" s="294"/>
      <c r="G5194" s="301"/>
      <c r="H5194" s="315"/>
      <c r="I5194" s="393"/>
      <c r="J5194" s="349"/>
      <c r="K5194" s="349"/>
      <c r="L5194" s="350"/>
      <c r="M5194" s="291"/>
      <c r="N5194" s="291"/>
      <c r="O5194" s="291"/>
      <c r="P5194" s="291"/>
      <c r="S5194" s="364"/>
      <c r="Z5194" s="609" t="s">
        <v>2101</v>
      </c>
      <c r="AA5194" s="609"/>
    </row>
    <row r="5195" spans="1:27" ht="24">
      <c r="A5195" s="2714">
        <v>1997</v>
      </c>
      <c r="B5195" s="371">
        <v>81</v>
      </c>
      <c r="C5195" s="2716" t="str">
        <f>VLOOKUP($A5195,Sheet_Items,2,0)</f>
        <v>所有权或使用权受到限制的资产</v>
      </c>
      <c r="D5195" s="371"/>
      <c r="E5195" s="2716" t="s">
        <v>2739</v>
      </c>
      <c r="F5195" s="294"/>
      <c r="G5195" s="305" t="str">
        <f>B5195&amp;" "&amp;C5195</f>
        <v>81 所有权或使用权受到限制的资产</v>
      </c>
      <c r="H5195" s="306"/>
      <c r="I5195" s="306"/>
      <c r="J5195" s="306"/>
      <c r="K5195" s="539"/>
      <c r="L5195" s="342"/>
      <c r="M5195" s="306"/>
      <c r="N5195" s="539"/>
      <c r="O5195" s="306"/>
      <c r="P5195" s="301"/>
      <c r="S5195" s="364"/>
      <c r="Z5195" s="609" t="s">
        <v>4429</v>
      </c>
      <c r="AA5195" s="609"/>
    </row>
    <row r="5196" spans="1:27" ht="24">
      <c r="A5196" s="2714" t="s">
        <v>1351</v>
      </c>
      <c r="B5196" s="371">
        <v>1</v>
      </c>
      <c r="C5196" s="371"/>
      <c r="D5196" s="2716" t="str">
        <f>VLOOKUP($A5196,Sheet_NoteList,2,0)</f>
        <v>所有权或使用权受到限制的资产明细项目</v>
      </c>
      <c r="E5196" s="2716" t="s">
        <v>2742</v>
      </c>
      <c r="F5196" s="294"/>
      <c r="G5196" s="372" t="str">
        <f>"("&amp;B5196&amp;")"&amp;D5196</f>
        <v>(1)所有权或使用权受到限制的资产明细项目</v>
      </c>
      <c r="H5196" s="1517" t="str">
        <f>$A5196</f>
        <v>1997a</v>
      </c>
      <c r="I5196" s="343" t="s">
        <v>2743</v>
      </c>
      <c r="J5196" s="301"/>
      <c r="K5196" s="3081"/>
      <c r="L5196" s="315"/>
      <c r="M5196" s="301"/>
      <c r="N5196" s="3081"/>
      <c r="O5196" s="315"/>
      <c r="P5196" s="301"/>
      <c r="S5196" s="364"/>
      <c r="Z5196" s="609" t="s">
        <v>4429</v>
      </c>
      <c r="AA5196" s="609"/>
    </row>
    <row r="5197" spans="1:27" ht="0.75" customHeight="1" thickBot="1">
      <c r="A5197" s="2714"/>
      <c r="B5197" s="371"/>
      <c r="C5197" s="371"/>
      <c r="D5197" s="371"/>
      <c r="E5197" s="586"/>
      <c r="F5197" s="518"/>
      <c r="G5197" s="518" t="s">
        <v>4430</v>
      </c>
      <c r="H5197" s="304" t="s">
        <v>2849</v>
      </c>
      <c r="I5197" s="304" t="s">
        <v>4431</v>
      </c>
      <c r="M5197" s="291"/>
      <c r="N5197" s="291"/>
      <c r="O5197" s="291"/>
      <c r="P5197" s="291"/>
      <c r="S5197" s="364"/>
      <c r="Z5197" s="609" t="s">
        <v>4429</v>
      </c>
      <c r="AA5197" s="609"/>
    </row>
    <row r="5198" spans="1:27" ht="24">
      <c r="A5198" s="2714"/>
      <c r="B5198" s="371"/>
      <c r="C5198" s="371"/>
      <c r="D5198" s="371"/>
      <c r="E5198" s="586" t="s">
        <v>2749</v>
      </c>
      <c r="F5198" s="363"/>
      <c r="G5198" s="2457" t="s">
        <v>47</v>
      </c>
      <c r="H5198" s="2464" t="str">
        <f>$W$2&amp;"账面价值"</f>
        <v>2019年12月31日账面价值</v>
      </c>
      <c r="I5198" s="2469" t="s">
        <v>4432</v>
      </c>
      <c r="J5198" s="355" t="s">
        <v>5345</v>
      </c>
      <c r="M5198" s="291"/>
      <c r="N5198" s="291"/>
      <c r="O5198" s="291"/>
      <c r="P5198" s="291"/>
      <c r="S5198" s="364"/>
      <c r="Z5198" s="609" t="s">
        <v>4429</v>
      </c>
      <c r="AA5198" s="609"/>
    </row>
    <row r="5199" spans="1:27" ht="18">
      <c r="A5199" s="2714"/>
      <c r="B5199" s="371">
        <v>101</v>
      </c>
      <c r="C5199" s="371"/>
      <c r="D5199" s="2716">
        <f t="shared" ref="D5199:D5207" si="560">IF(OR(G5199="*",G5199="",G5199=0),0,COUNTIF($G$5199:$G$5207,G5199))</f>
        <v>1</v>
      </c>
      <c r="E5199" s="2721">
        <v>1</v>
      </c>
      <c r="F5199" s="294"/>
      <c r="G5199" s="1474" t="s">
        <v>10</v>
      </c>
      <c r="H5199" s="2275"/>
      <c r="I5199" s="2276"/>
      <c r="M5199" s="291"/>
      <c r="N5199" s="291"/>
      <c r="O5199" s="291"/>
      <c r="P5199" s="291"/>
      <c r="S5199" s="364"/>
      <c r="Z5199" s="609" t="s">
        <v>4429</v>
      </c>
      <c r="AA5199" s="609"/>
    </row>
    <row r="5200" spans="1:27" ht="18">
      <c r="A5200" s="2714"/>
      <c r="B5200" s="371">
        <v>102</v>
      </c>
      <c r="C5200" s="371"/>
      <c r="D5200" s="2716">
        <f t="shared" si="560"/>
        <v>1</v>
      </c>
      <c r="E5200" s="2721">
        <v>1</v>
      </c>
      <c r="F5200" s="294"/>
      <c r="G5200" s="1474" t="s">
        <v>109</v>
      </c>
      <c r="H5200" s="2275"/>
      <c r="I5200" s="2276"/>
      <c r="M5200" s="291"/>
      <c r="N5200" s="291"/>
      <c r="O5200" s="291"/>
      <c r="P5200" s="291"/>
      <c r="S5200" s="364"/>
      <c r="Z5200" s="609" t="s">
        <v>4429</v>
      </c>
      <c r="AA5200" s="609"/>
    </row>
    <row r="5201" spans="1:27" ht="18">
      <c r="A5201" s="2714"/>
      <c r="B5201" s="371">
        <v>103</v>
      </c>
      <c r="C5201" s="371"/>
      <c r="D5201" s="2716">
        <f t="shared" si="560"/>
        <v>1</v>
      </c>
      <c r="E5201" s="2721">
        <v>1</v>
      </c>
      <c r="F5201" s="294"/>
      <c r="G5201" s="1474" t="s">
        <v>229</v>
      </c>
      <c r="H5201" s="2275"/>
      <c r="I5201" s="2276"/>
      <c r="M5201" s="291"/>
      <c r="N5201" s="291"/>
      <c r="O5201" s="291"/>
      <c r="P5201" s="291"/>
      <c r="S5201" s="364"/>
      <c r="Z5201" s="609" t="s">
        <v>4429</v>
      </c>
      <c r="AA5201" s="609"/>
    </row>
    <row r="5202" spans="1:27" ht="18">
      <c r="A5202" s="2714"/>
      <c r="B5202" s="371">
        <v>104</v>
      </c>
      <c r="C5202" s="371"/>
      <c r="D5202" s="2716">
        <f t="shared" si="560"/>
        <v>1</v>
      </c>
      <c r="E5202" s="2721">
        <v>1</v>
      </c>
      <c r="F5202" s="294"/>
      <c r="G5202" s="1474" t="s">
        <v>337</v>
      </c>
      <c r="H5202" s="2275"/>
      <c r="I5202" s="2276"/>
      <c r="M5202" s="291"/>
      <c r="N5202" s="291"/>
      <c r="O5202" s="291"/>
      <c r="P5202" s="291"/>
      <c r="S5202" s="364"/>
      <c r="Z5202" s="609" t="s">
        <v>4429</v>
      </c>
      <c r="AA5202" s="609"/>
    </row>
    <row r="5203" spans="1:27" ht="18">
      <c r="A5203" s="2714"/>
      <c r="B5203" s="371">
        <v>105</v>
      </c>
      <c r="C5203" s="371"/>
      <c r="D5203" s="2716">
        <f t="shared" si="560"/>
        <v>1</v>
      </c>
      <c r="E5203" s="2721">
        <v>1</v>
      </c>
      <c r="F5203" s="294"/>
      <c r="G5203" s="1474" t="s">
        <v>396</v>
      </c>
      <c r="H5203" s="2275"/>
      <c r="I5203" s="2276"/>
      <c r="M5203" s="291"/>
      <c r="N5203" s="291"/>
      <c r="O5203" s="291"/>
      <c r="P5203" s="291"/>
      <c r="S5203" s="364"/>
      <c r="Z5203" s="609" t="s">
        <v>4429</v>
      </c>
      <c r="AA5203" s="609"/>
    </row>
    <row r="5204" spans="1:27" ht="18">
      <c r="A5204" s="2714"/>
      <c r="B5204" s="371">
        <v>106</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
      <c r="A5205" s="2714"/>
      <c r="B5205" s="371">
        <v>107</v>
      </c>
      <c r="C5205" s="371" t="s">
        <v>2791</v>
      </c>
      <c r="D5205" s="2716">
        <f t="shared" si="560"/>
        <v>0</v>
      </c>
      <c r="E5205" s="2721">
        <v>1</v>
      </c>
      <c r="F5205" s="294"/>
      <c r="G5205" s="2467" t="s">
        <v>2792</v>
      </c>
      <c r="H5205" s="2275"/>
      <c r="I5205" s="2276"/>
      <c r="M5205" s="291"/>
      <c r="N5205" s="291"/>
      <c r="O5205" s="291"/>
      <c r="P5205" s="291"/>
      <c r="S5205" s="364"/>
      <c r="Z5205" s="609" t="s">
        <v>4429</v>
      </c>
      <c r="AA5205" s="609"/>
    </row>
    <row r="5206" spans="1:27" ht="18">
      <c r="A5206" s="2714"/>
      <c r="B5206" s="371">
        <v>108</v>
      </c>
      <c r="C5206" s="371" t="s">
        <v>2791</v>
      </c>
      <c r="D5206" s="2716">
        <f t="shared" si="560"/>
        <v>0</v>
      </c>
      <c r="E5206" s="2721">
        <v>1</v>
      </c>
      <c r="F5206" s="294"/>
      <c r="G5206" s="2467" t="s">
        <v>2792</v>
      </c>
      <c r="H5206" s="2275"/>
      <c r="I5206" s="2276"/>
      <c r="M5206" s="291"/>
      <c r="N5206" s="291"/>
      <c r="O5206" s="291"/>
      <c r="P5206" s="291"/>
      <c r="S5206" s="364"/>
      <c r="Z5206" s="609" t="s">
        <v>4429</v>
      </c>
      <c r="AA5206" s="609"/>
    </row>
    <row r="5207" spans="1:27" ht="18.75" thickBot="1">
      <c r="A5207" s="2714"/>
      <c r="B5207" s="371"/>
      <c r="C5207" s="371"/>
      <c r="D5207" s="2716">
        <f t="shared" si="560"/>
        <v>1</v>
      </c>
      <c r="E5207" s="2721" t="s">
        <v>3032</v>
      </c>
      <c r="F5207" s="294"/>
      <c r="G5207" s="374" t="s">
        <v>2752</v>
      </c>
      <c r="H5207" s="1478">
        <f>SUMPRODUCT($E5198:$E5206,H5198:H5206)</f>
        <v>0</v>
      </c>
      <c r="I5207" s="2260"/>
      <c r="M5207" s="291"/>
      <c r="N5207" s="291"/>
      <c r="O5207" s="291"/>
      <c r="P5207" s="291"/>
      <c r="S5207" s="364"/>
      <c r="Z5207" s="609" t="s">
        <v>4429</v>
      </c>
      <c r="AA5207" s="609"/>
    </row>
    <row r="5208" spans="1:27" ht="18">
      <c r="A5208" s="2714"/>
      <c r="B5208" s="371"/>
      <c r="C5208" s="371" t="s">
        <v>2755</v>
      </c>
      <c r="D5208" s="371"/>
      <c r="F5208" s="294"/>
      <c r="G5208" s="301"/>
      <c r="H5208" s="315"/>
      <c r="I5208" s="393"/>
      <c r="J5208" s="349"/>
      <c r="K5208" s="349"/>
      <c r="L5208" s="350"/>
      <c r="M5208" s="291"/>
      <c r="N5208" s="291"/>
      <c r="O5208" s="291"/>
      <c r="P5208" s="291"/>
      <c r="S5208" s="364"/>
      <c r="Z5208" s="609" t="s">
        <v>4429</v>
      </c>
      <c r="AA5208" s="609"/>
    </row>
    <row r="5209" spans="1:27" ht="18">
      <c r="A5209" s="2714">
        <v>1704</v>
      </c>
      <c r="B5209" s="371">
        <v>82</v>
      </c>
      <c r="C5209" s="2716" t="str">
        <f>VLOOKUP($A5209,Sheet_Items,2,0)</f>
        <v>外币货币性项目</v>
      </c>
      <c r="D5209" s="371"/>
      <c r="E5209" s="2716" t="s">
        <v>2739</v>
      </c>
      <c r="F5209" s="294"/>
      <c r="G5209" s="305" t="str">
        <f>B5209&amp;" "&amp;C5209</f>
        <v>82 外币货币性项目</v>
      </c>
      <c r="H5209" s="306"/>
      <c r="I5209" s="306"/>
      <c r="J5209" s="306"/>
      <c r="K5209" s="539"/>
      <c r="L5209" s="342"/>
      <c r="M5209" s="306"/>
      <c r="N5209" s="539"/>
      <c r="O5209" s="306"/>
      <c r="P5209" s="301"/>
      <c r="S5209" s="364"/>
      <c r="Z5209" s="609" t="s">
        <v>4433</v>
      </c>
      <c r="AA5209" s="609"/>
    </row>
    <row r="5210" spans="1:27" ht="18">
      <c r="A5210" s="2714" t="s">
        <v>1347</v>
      </c>
      <c r="B5210" s="371">
        <v>1</v>
      </c>
      <c r="C5210" s="371"/>
      <c r="D5210" s="2716" t="str">
        <f>VLOOKUP($A5210,Sheet_NoteList,2,0)</f>
        <v>外币货币性项目明细</v>
      </c>
      <c r="E5210" s="2716" t="s">
        <v>2742</v>
      </c>
      <c r="F5210" s="294"/>
      <c r="G5210" s="307" t="str">
        <f>"("&amp;B5210&amp;")"&amp;D5210</f>
        <v>(1)外币货币性项目明细</v>
      </c>
      <c r="H5210" s="1517" t="str">
        <f>$A5210</f>
        <v>1704a</v>
      </c>
      <c r="I5210" s="343" t="s">
        <v>2743</v>
      </c>
      <c r="J5210" s="301"/>
      <c r="K5210" s="3081"/>
      <c r="L5210" s="315"/>
      <c r="M5210" s="301"/>
      <c r="N5210" s="3081"/>
      <c r="O5210" s="315"/>
      <c r="P5210" s="301"/>
      <c r="S5210" s="364"/>
      <c r="Z5210" s="609" t="s">
        <v>4433</v>
      </c>
      <c r="AA5210" s="609"/>
    </row>
    <row r="5211" spans="1:27" ht="0.75" customHeight="1" thickBot="1">
      <c r="A5211" s="2714"/>
      <c r="B5211" s="371"/>
      <c r="C5211" s="371"/>
      <c r="D5211" s="371"/>
      <c r="F5211" s="371"/>
      <c r="G5211" s="371" t="s">
        <v>4434</v>
      </c>
      <c r="H5211" s="371" t="s">
        <v>3073</v>
      </c>
      <c r="I5211" s="371" t="s">
        <v>3074</v>
      </c>
      <c r="J5211" s="371" t="s">
        <v>3075</v>
      </c>
      <c r="M5211" s="291"/>
      <c r="N5211" s="291"/>
      <c r="O5211" s="291"/>
      <c r="P5211" s="291"/>
      <c r="S5211" s="364"/>
      <c r="Z5211" s="609" t="s">
        <v>4433</v>
      </c>
      <c r="AA5211" s="609"/>
    </row>
    <row r="5212" spans="1:27" ht="24">
      <c r="A5212" s="2714"/>
      <c r="B5212" s="371"/>
      <c r="C5212" s="371"/>
      <c r="D5212" s="371"/>
      <c r="E5212" s="2716" t="s">
        <v>2749</v>
      </c>
      <c r="F5212" s="294"/>
      <c r="G5212" s="2482" t="s">
        <v>47</v>
      </c>
      <c r="H5212" s="2483" t="str">
        <f>$W$2&amp;"外币余额"</f>
        <v>2019年12月31日外币余额</v>
      </c>
      <c r="I5212" s="2483" t="s">
        <v>3077</v>
      </c>
      <c r="J5212" s="2484" t="str">
        <f>$W$2&amp;"折算人民币余额"</f>
        <v>2019年12月31日折算人民币余额</v>
      </c>
      <c r="K5212" s="355" t="s">
        <v>5346</v>
      </c>
      <c r="M5212" s="291"/>
      <c r="N5212" s="291"/>
      <c r="O5212" s="291"/>
      <c r="P5212" s="291"/>
      <c r="S5212" s="364"/>
      <c r="Z5212" s="609" t="s">
        <v>4433</v>
      </c>
      <c r="AA5212" s="609"/>
    </row>
    <row r="5213" spans="1:27" ht="18">
      <c r="A5213" s="2714"/>
      <c r="B5213" s="371">
        <v>101</v>
      </c>
      <c r="C5213" s="371"/>
      <c r="D5213" s="2716">
        <f t="shared" ref="D5213:D5244" si="561">IF(OR(G5213="*",G5213="",G5213=0),0,COUNTIF($G$5213:$G$5274,G5213))</f>
        <v>1</v>
      </c>
      <c r="E5213" s="2721" t="s">
        <v>41</v>
      </c>
      <c r="F5213" s="294"/>
      <c r="G5213" s="308" t="s">
        <v>5261</v>
      </c>
      <c r="H5213" s="309"/>
      <c r="I5213" s="360"/>
      <c r="J5213" s="346"/>
      <c r="K5213" s="1587" t="s">
        <v>45</v>
      </c>
      <c r="M5213" s="291"/>
      <c r="N5213" s="291"/>
      <c r="O5213" s="291"/>
      <c r="P5213" s="291"/>
      <c r="S5213" s="364"/>
      <c r="Z5213" s="609" t="s">
        <v>4433</v>
      </c>
      <c r="AA5213" s="609"/>
    </row>
    <row r="5214" spans="1:27" ht="18">
      <c r="A5214" s="2714"/>
      <c r="B5214" s="371">
        <v>102</v>
      </c>
      <c r="C5214" s="371" t="s">
        <v>2791</v>
      </c>
      <c r="D5214" s="2716">
        <f t="shared" si="561"/>
        <v>1</v>
      </c>
      <c r="E5214" s="2721">
        <v>1</v>
      </c>
      <c r="F5214" s="294"/>
      <c r="G5214" s="1497" t="str">
        <f>"其中："&amp;G5213&amp;"（美元）"</f>
        <v>其中：货币资金（美元）</v>
      </c>
      <c r="H5214" s="309"/>
      <c r="I5214" s="360"/>
      <c r="J5214" s="346"/>
      <c r="M5214" s="291"/>
      <c r="N5214" s="291"/>
      <c r="O5214" s="291"/>
      <c r="P5214" s="291"/>
      <c r="S5214" s="364"/>
      <c r="Z5214" s="609" t="s">
        <v>4433</v>
      </c>
      <c r="AA5214" s="609"/>
    </row>
    <row r="5215" spans="1:27" ht="18">
      <c r="A5215" s="2714"/>
      <c r="B5215" s="371">
        <v>103</v>
      </c>
      <c r="C5215" s="371" t="s">
        <v>2791</v>
      </c>
      <c r="D5215" s="2716">
        <f t="shared" si="561"/>
        <v>1</v>
      </c>
      <c r="E5215" s="2721">
        <v>1</v>
      </c>
      <c r="F5215" s="294"/>
      <c r="G5215" s="1497" t="str">
        <f>G5213&amp;"（欧元）"</f>
        <v>货币资金（欧元）</v>
      </c>
      <c r="H5215" s="309"/>
      <c r="I5215" s="360"/>
      <c r="J5215" s="346"/>
      <c r="M5215" s="291"/>
      <c r="N5215" s="291"/>
      <c r="O5215" s="291"/>
      <c r="P5215" s="291"/>
      <c r="S5215" s="364"/>
      <c r="Z5215" s="609" t="s">
        <v>4433</v>
      </c>
      <c r="AA5215" s="609"/>
    </row>
    <row r="5216" spans="1:27" ht="18">
      <c r="A5216" s="2714"/>
      <c r="B5216" s="371">
        <v>104</v>
      </c>
      <c r="C5216" s="371" t="s">
        <v>2791</v>
      </c>
      <c r="D5216" s="2716">
        <f t="shared" si="561"/>
        <v>1</v>
      </c>
      <c r="E5216" s="2721">
        <v>1</v>
      </c>
      <c r="F5216" s="294"/>
      <c r="G5216" s="1497" t="str">
        <f>G5213&amp;"（港币）"</f>
        <v>货币资金（港币）</v>
      </c>
      <c r="H5216" s="309"/>
      <c r="I5216" s="360"/>
      <c r="J5216" s="346"/>
      <c r="M5216" s="291"/>
      <c r="N5216" s="291"/>
      <c r="O5216" s="291"/>
      <c r="P5216" s="291"/>
      <c r="S5216" s="364"/>
      <c r="Z5216" s="609" t="s">
        <v>4433</v>
      </c>
      <c r="AA5216" s="609"/>
    </row>
    <row r="5217" spans="1:27" ht="18">
      <c r="A5217" s="2714"/>
      <c r="B5217" s="371">
        <v>105</v>
      </c>
      <c r="C5217" s="371" t="s">
        <v>2791</v>
      </c>
      <c r="D5217" s="2716">
        <f t="shared" si="561"/>
        <v>0</v>
      </c>
      <c r="E5217" s="2721">
        <v>1</v>
      </c>
      <c r="F5217" s="294"/>
      <c r="G5217" s="1504" t="s">
        <v>2792</v>
      </c>
      <c r="H5217" s="309"/>
      <c r="I5217" s="360"/>
      <c r="J5217" s="346"/>
      <c r="M5217" s="291"/>
      <c r="N5217" s="291"/>
      <c r="O5217" s="291"/>
      <c r="P5217" s="291"/>
      <c r="S5217" s="364"/>
      <c r="Z5217" s="609" t="s">
        <v>4433</v>
      </c>
      <c r="AA5217" s="609"/>
    </row>
    <row r="5218" spans="1:27" ht="18">
      <c r="A5218" s="2714"/>
      <c r="B5218" s="371">
        <v>106</v>
      </c>
      <c r="C5218" s="371"/>
      <c r="D5218" s="2716">
        <f t="shared" si="561"/>
        <v>1</v>
      </c>
      <c r="E5218" s="2721" t="s">
        <v>41</v>
      </c>
      <c r="F5218" s="294"/>
      <c r="G5218" s="308" t="s">
        <v>5254</v>
      </c>
      <c r="H5218" s="309"/>
      <c r="I5218" s="360"/>
      <c r="J5218" s="346"/>
      <c r="K5218" s="1587" t="s">
        <v>5585</v>
      </c>
      <c r="M5218" s="291"/>
      <c r="N5218" s="291"/>
      <c r="O5218" s="291"/>
      <c r="P5218" s="291"/>
      <c r="S5218" s="364"/>
      <c r="Z5218" s="609" t="s">
        <v>4433</v>
      </c>
      <c r="AA5218" s="609"/>
    </row>
    <row r="5219" spans="1:27" ht="18">
      <c r="A5219" s="2714"/>
      <c r="B5219" s="371">
        <v>107</v>
      </c>
      <c r="C5219" s="371" t="s">
        <v>2791</v>
      </c>
      <c r="D5219" s="2716">
        <f t="shared" si="561"/>
        <v>1</v>
      </c>
      <c r="E5219" s="2721">
        <v>1</v>
      </c>
      <c r="F5219" s="294"/>
      <c r="G5219" s="1636" t="str">
        <f>"其中："&amp;G5218&amp;"（美元）"</f>
        <v>其中：应收票据（美元）</v>
      </c>
      <c r="H5219" s="309"/>
      <c r="I5219" s="360"/>
      <c r="J5219" s="346"/>
      <c r="M5219" s="291"/>
      <c r="N5219" s="291"/>
      <c r="O5219" s="291"/>
      <c r="P5219" s="291"/>
      <c r="S5219" s="364"/>
      <c r="Z5219" s="609" t="s">
        <v>4433</v>
      </c>
      <c r="AA5219" s="609"/>
    </row>
    <row r="5220" spans="1:27" ht="18">
      <c r="A5220" s="2714"/>
      <c r="B5220" s="371">
        <v>108</v>
      </c>
      <c r="C5220" s="371" t="s">
        <v>2791</v>
      </c>
      <c r="D5220" s="2716">
        <f t="shared" si="561"/>
        <v>1</v>
      </c>
      <c r="E5220" s="2721">
        <v>1</v>
      </c>
      <c r="F5220" s="294"/>
      <c r="G5220" s="1636" t="str">
        <f>G5218&amp;"（欧元）"</f>
        <v>应收票据（欧元）</v>
      </c>
      <c r="H5220" s="309"/>
      <c r="I5220" s="360"/>
      <c r="J5220" s="346"/>
      <c r="M5220" s="291"/>
      <c r="N5220" s="291"/>
      <c r="O5220" s="291"/>
      <c r="P5220" s="291"/>
      <c r="S5220" s="364"/>
      <c r="Z5220" s="609" t="s">
        <v>4433</v>
      </c>
      <c r="AA5220" s="609"/>
    </row>
    <row r="5221" spans="1:27" ht="18">
      <c r="A5221" s="2714"/>
      <c r="B5221" s="371">
        <v>109</v>
      </c>
      <c r="C5221" s="371" t="s">
        <v>2791</v>
      </c>
      <c r="D5221" s="2716">
        <f t="shared" si="561"/>
        <v>1</v>
      </c>
      <c r="E5221" s="2721">
        <v>1</v>
      </c>
      <c r="F5221" s="294"/>
      <c r="G5221" s="1636" t="str">
        <f>G5218&amp;"（港币）"</f>
        <v>应收票据（港币）</v>
      </c>
      <c r="H5221" s="309"/>
      <c r="I5221" s="1638"/>
      <c r="J5221" s="346"/>
      <c r="M5221" s="291"/>
      <c r="N5221" s="291"/>
      <c r="O5221" s="291"/>
      <c r="P5221" s="291"/>
      <c r="S5221" s="364"/>
      <c r="Z5221" s="609" t="s">
        <v>4433</v>
      </c>
      <c r="AA5221" s="609"/>
    </row>
    <row r="5222" spans="1:27" ht="18">
      <c r="A5222" s="2714"/>
      <c r="B5222" s="371">
        <v>110</v>
      </c>
      <c r="C5222" s="371" t="s">
        <v>2791</v>
      </c>
      <c r="D5222" s="2716">
        <f t="shared" si="561"/>
        <v>0</v>
      </c>
      <c r="E5222" s="2721">
        <v>1</v>
      </c>
      <c r="F5222" s="294"/>
      <c r="G5222" s="1504" t="s">
        <v>2792</v>
      </c>
      <c r="H5222" s="309"/>
      <c r="I5222" s="360"/>
      <c r="J5222" s="346"/>
      <c r="M5222" s="291"/>
      <c r="N5222" s="291"/>
      <c r="O5222" s="291"/>
      <c r="P5222" s="291"/>
      <c r="S5222" s="364"/>
      <c r="Z5222" s="609" t="s">
        <v>4433</v>
      </c>
      <c r="AA5222" s="609"/>
    </row>
    <row r="5223" spans="1:27" ht="18">
      <c r="A5223" s="2714"/>
      <c r="B5223" s="371">
        <v>111</v>
      </c>
      <c r="C5223" s="371"/>
      <c r="D5223" s="2716">
        <f t="shared" si="561"/>
        <v>1</v>
      </c>
      <c r="E5223" s="2721" t="s">
        <v>41</v>
      </c>
      <c r="F5223" s="294"/>
      <c r="G5223" s="308" t="s">
        <v>5262</v>
      </c>
      <c r="H5223" s="309"/>
      <c r="I5223" s="360"/>
      <c r="J5223" s="346"/>
      <c r="K5223" s="1587" t="s">
        <v>419</v>
      </c>
      <c r="M5223" s="291"/>
      <c r="N5223" s="291"/>
      <c r="O5223" s="291"/>
      <c r="P5223" s="291"/>
      <c r="S5223" s="364"/>
      <c r="Z5223" s="609" t="s">
        <v>4433</v>
      </c>
      <c r="AA5223" s="609"/>
    </row>
    <row r="5224" spans="1:27" ht="18">
      <c r="A5224" s="2714"/>
      <c r="B5224" s="371">
        <v>112</v>
      </c>
      <c r="C5224" s="371" t="s">
        <v>2791</v>
      </c>
      <c r="D5224" s="2716">
        <f t="shared" si="561"/>
        <v>1</v>
      </c>
      <c r="E5224" s="2721">
        <v>1</v>
      </c>
      <c r="F5224" s="294"/>
      <c r="G5224" s="1497" t="str">
        <f>"其中："&amp;G5223&amp;"（美元）"</f>
        <v>其中：应收账款（美元）</v>
      </c>
      <c r="H5224" s="309"/>
      <c r="I5224" s="360"/>
      <c r="J5224" s="346"/>
      <c r="M5224" s="291"/>
      <c r="N5224" s="291"/>
      <c r="O5224" s="291"/>
      <c r="P5224" s="291"/>
      <c r="S5224" s="364"/>
      <c r="Z5224" s="609" t="s">
        <v>4433</v>
      </c>
      <c r="AA5224" s="609"/>
    </row>
    <row r="5225" spans="1:27" ht="18">
      <c r="A5225" s="2714"/>
      <c r="B5225" s="371">
        <v>113</v>
      </c>
      <c r="C5225" s="371" t="s">
        <v>2791</v>
      </c>
      <c r="D5225" s="2716">
        <f t="shared" si="561"/>
        <v>1</v>
      </c>
      <c r="E5225" s="2721">
        <v>1</v>
      </c>
      <c r="F5225" s="294"/>
      <c r="G5225" s="1497" t="str">
        <f>G5223&amp;"（欧元）"</f>
        <v>应收账款（欧元）</v>
      </c>
      <c r="H5225" s="309"/>
      <c r="I5225" s="360"/>
      <c r="J5225" s="346"/>
      <c r="M5225" s="291"/>
      <c r="N5225" s="291"/>
      <c r="O5225" s="291"/>
      <c r="P5225" s="291"/>
      <c r="S5225" s="364"/>
      <c r="Z5225" s="609" t="s">
        <v>4433</v>
      </c>
      <c r="AA5225" s="609"/>
    </row>
    <row r="5226" spans="1:27" ht="18">
      <c r="A5226" s="2714"/>
      <c r="B5226" s="371">
        <v>114</v>
      </c>
      <c r="C5226" s="371" t="s">
        <v>2791</v>
      </c>
      <c r="D5226" s="2716">
        <f t="shared" si="561"/>
        <v>1</v>
      </c>
      <c r="E5226" s="2721">
        <v>1</v>
      </c>
      <c r="F5226" s="294"/>
      <c r="G5226" s="1497" t="str">
        <f>G5223&amp;"（港币）"</f>
        <v>应收账款（港币）</v>
      </c>
      <c r="H5226" s="309"/>
      <c r="I5226" s="360"/>
      <c r="J5226" s="346"/>
      <c r="M5226" s="291"/>
      <c r="N5226" s="291"/>
      <c r="O5226" s="291"/>
      <c r="P5226" s="291"/>
      <c r="S5226" s="364"/>
      <c r="Z5226" s="609" t="s">
        <v>4433</v>
      </c>
      <c r="AA5226" s="609"/>
    </row>
    <row r="5227" spans="1:27" ht="18">
      <c r="A5227" s="2714"/>
      <c r="B5227" s="371">
        <v>115</v>
      </c>
      <c r="C5227" s="371" t="s">
        <v>2791</v>
      </c>
      <c r="D5227" s="2716">
        <f t="shared" si="561"/>
        <v>0</v>
      </c>
      <c r="E5227" s="2721">
        <v>1</v>
      </c>
      <c r="F5227" s="294"/>
      <c r="G5227" s="1504" t="s">
        <v>2792</v>
      </c>
      <c r="H5227" s="309"/>
      <c r="I5227" s="360"/>
      <c r="J5227" s="346"/>
      <c r="M5227" s="291"/>
      <c r="N5227" s="291"/>
      <c r="O5227" s="291"/>
      <c r="P5227" s="291"/>
      <c r="S5227" s="364"/>
      <c r="Z5227" s="609" t="s">
        <v>4433</v>
      </c>
      <c r="AA5227" s="609"/>
    </row>
    <row r="5228" spans="1:27" ht="18">
      <c r="A5228" s="2714"/>
      <c r="B5228" s="371">
        <v>116</v>
      </c>
      <c r="C5228" s="371"/>
      <c r="D5228" s="2716">
        <f t="shared" si="561"/>
        <v>1</v>
      </c>
      <c r="E5228" s="2721" t="s">
        <v>41</v>
      </c>
      <c r="F5228" s="294"/>
      <c r="G5228" s="308" t="s">
        <v>5615</v>
      </c>
      <c r="H5228" s="309"/>
      <c r="I5228" s="360"/>
      <c r="J5228" s="346"/>
      <c r="K5228" s="1587" t="s">
        <v>629</v>
      </c>
      <c r="M5228" s="291"/>
      <c r="N5228" s="291"/>
      <c r="O5228" s="291"/>
      <c r="P5228" s="291"/>
      <c r="S5228" s="364"/>
      <c r="Z5228" s="609" t="s">
        <v>4433</v>
      </c>
      <c r="AA5228" s="609"/>
    </row>
    <row r="5229" spans="1:27" ht="18">
      <c r="A5229" s="2714"/>
      <c r="B5229" s="371">
        <v>117</v>
      </c>
      <c r="C5229" s="371" t="s">
        <v>2791</v>
      </c>
      <c r="D5229" s="2716">
        <f t="shared" si="561"/>
        <v>1</v>
      </c>
      <c r="E5229" s="2721">
        <v>1</v>
      </c>
      <c r="F5229" s="294"/>
      <c r="G5229" s="1497" t="str">
        <f>"其中："&amp;G5228&amp;"（美元）"</f>
        <v>其中：其他应收款（美元）</v>
      </c>
      <c r="H5229" s="309"/>
      <c r="I5229" s="360"/>
      <c r="J5229" s="346"/>
      <c r="M5229" s="291"/>
      <c r="N5229" s="291"/>
      <c r="O5229" s="291"/>
      <c r="P5229" s="291"/>
      <c r="S5229" s="364"/>
      <c r="Z5229" s="609" t="s">
        <v>4433</v>
      </c>
      <c r="AA5229" s="609"/>
    </row>
    <row r="5230" spans="1:27" ht="18">
      <c r="A5230" s="2714"/>
      <c r="B5230" s="371">
        <v>118</v>
      </c>
      <c r="C5230" s="371" t="s">
        <v>2791</v>
      </c>
      <c r="D5230" s="2716">
        <f t="shared" si="561"/>
        <v>1</v>
      </c>
      <c r="E5230" s="2721">
        <v>1</v>
      </c>
      <c r="F5230" s="294"/>
      <c r="G5230" s="1497" t="str">
        <f>G5228&amp;"（欧元）"</f>
        <v>其他应收款（欧元）</v>
      </c>
      <c r="H5230" s="309"/>
      <c r="I5230" s="360"/>
      <c r="J5230" s="346"/>
      <c r="M5230" s="291"/>
      <c r="N5230" s="291"/>
      <c r="O5230" s="291"/>
      <c r="P5230" s="291"/>
      <c r="S5230" s="364"/>
      <c r="Z5230" s="609" t="s">
        <v>4433</v>
      </c>
      <c r="AA5230" s="609"/>
    </row>
    <row r="5231" spans="1:27" ht="18">
      <c r="A5231" s="2714"/>
      <c r="B5231" s="371">
        <v>119</v>
      </c>
      <c r="C5231" s="371" t="s">
        <v>2791</v>
      </c>
      <c r="D5231" s="2716">
        <f t="shared" si="561"/>
        <v>1</v>
      </c>
      <c r="E5231" s="2721">
        <v>1</v>
      </c>
      <c r="F5231" s="294"/>
      <c r="G5231" s="1497" t="str">
        <f>G5228&amp;"（港币）"</f>
        <v>其他应收款（港币）</v>
      </c>
      <c r="H5231" s="309"/>
      <c r="I5231" s="360"/>
      <c r="J5231" s="346"/>
      <c r="M5231" s="291"/>
      <c r="N5231" s="291"/>
      <c r="O5231" s="291"/>
      <c r="P5231" s="291"/>
      <c r="S5231" s="364"/>
      <c r="Z5231" s="609" t="s">
        <v>4433</v>
      </c>
      <c r="AA5231" s="609"/>
    </row>
    <row r="5232" spans="1:27" ht="18">
      <c r="A5232" s="2714"/>
      <c r="B5232" s="371">
        <v>120</v>
      </c>
      <c r="C5232" s="371" t="s">
        <v>2791</v>
      </c>
      <c r="D5232" s="2716">
        <f t="shared" si="561"/>
        <v>0</v>
      </c>
      <c r="E5232" s="2721">
        <v>1</v>
      </c>
      <c r="F5232" s="294"/>
      <c r="G5232" s="1504" t="s">
        <v>2792</v>
      </c>
      <c r="H5232" s="309"/>
      <c r="I5232" s="360"/>
      <c r="J5232" s="346"/>
      <c r="M5232" s="291"/>
      <c r="N5232" s="291"/>
      <c r="O5232" s="291"/>
      <c r="P5232" s="291"/>
      <c r="S5232" s="364"/>
      <c r="Z5232" s="609" t="s">
        <v>4433</v>
      </c>
      <c r="AA5232" s="609"/>
    </row>
    <row r="5233" spans="1:27" ht="18">
      <c r="A5233" s="2714"/>
      <c r="B5233" s="371">
        <v>121</v>
      </c>
      <c r="C5233" s="371"/>
      <c r="D5233" s="2716">
        <f t="shared" si="561"/>
        <v>1</v>
      </c>
      <c r="E5233" s="2721" t="s">
        <v>41</v>
      </c>
      <c r="F5233" s="294"/>
      <c r="G5233" s="308" t="s">
        <v>5255</v>
      </c>
      <c r="H5233" s="2329">
        <v>0</v>
      </c>
      <c r="I5233" s="360"/>
      <c r="J5233" s="2694">
        <v>0</v>
      </c>
      <c r="K5233" s="1587" t="s">
        <v>5587</v>
      </c>
      <c r="M5233" s="291"/>
      <c r="N5233" s="291"/>
      <c r="O5233" s="291"/>
      <c r="P5233" s="291"/>
      <c r="S5233" s="364"/>
      <c r="Z5233" s="609" t="s">
        <v>4433</v>
      </c>
      <c r="AA5233" s="609"/>
    </row>
    <row r="5234" spans="1:27" ht="24">
      <c r="A5234" s="2714"/>
      <c r="B5234" s="371">
        <v>122</v>
      </c>
      <c r="C5234" s="371" t="s">
        <v>2791</v>
      </c>
      <c r="D5234" s="2716">
        <f t="shared" si="561"/>
        <v>1</v>
      </c>
      <c r="E5234" s="2721">
        <v>1</v>
      </c>
      <c r="F5234" s="294"/>
      <c r="G5234" s="1497" t="str">
        <f>"其中："&amp;G5233&amp;"（美元）"</f>
        <v>其中：持有至到期投资（美元）</v>
      </c>
      <c r="H5234" s="2329">
        <v>0</v>
      </c>
      <c r="I5234" s="360"/>
      <c r="J5234" s="2695">
        <v>0</v>
      </c>
      <c r="M5234" s="291"/>
      <c r="N5234" s="291"/>
      <c r="O5234" s="291"/>
      <c r="P5234" s="291"/>
      <c r="S5234" s="364"/>
      <c r="Z5234" s="609" t="s">
        <v>4433</v>
      </c>
      <c r="AA5234" s="609"/>
    </row>
    <row r="5235" spans="1:27" ht="18">
      <c r="A5235" s="2714"/>
      <c r="B5235" s="371">
        <v>123</v>
      </c>
      <c r="C5235" s="371" t="s">
        <v>2791</v>
      </c>
      <c r="D5235" s="2716">
        <f t="shared" si="561"/>
        <v>1</v>
      </c>
      <c r="E5235" s="2721">
        <v>1</v>
      </c>
      <c r="F5235" s="294"/>
      <c r="G5235" s="1497" t="str">
        <f>G5233&amp;"（欧元）"</f>
        <v>持有至到期投资（欧元）</v>
      </c>
      <c r="H5235" s="2329">
        <v>0</v>
      </c>
      <c r="I5235" s="360"/>
      <c r="J5235" s="2695">
        <v>0</v>
      </c>
      <c r="M5235" s="291"/>
      <c r="N5235" s="291"/>
      <c r="O5235" s="291"/>
      <c r="P5235" s="291"/>
      <c r="S5235" s="364"/>
      <c r="Z5235" s="609" t="s">
        <v>4433</v>
      </c>
      <c r="AA5235" s="609"/>
    </row>
    <row r="5236" spans="1:27" ht="18">
      <c r="A5236" s="2714"/>
      <c r="B5236" s="371">
        <v>124</v>
      </c>
      <c r="C5236" s="371" t="s">
        <v>6533</v>
      </c>
      <c r="D5236" s="2716">
        <f t="shared" si="561"/>
        <v>1</v>
      </c>
      <c r="E5236" s="2721">
        <v>1</v>
      </c>
      <c r="F5236" s="294"/>
      <c r="G5236" s="1497" t="str">
        <f>G5233&amp;"（港币）"</f>
        <v>持有至到期投资（港币）</v>
      </c>
      <c r="H5236" s="2329">
        <v>0</v>
      </c>
      <c r="I5236" s="360"/>
      <c r="J5236" s="2695">
        <v>0</v>
      </c>
      <c r="M5236" s="291"/>
      <c r="N5236" s="291"/>
      <c r="O5236" s="291"/>
      <c r="P5236" s="291"/>
      <c r="S5236" s="364"/>
      <c r="Z5236" s="609" t="s">
        <v>4433</v>
      </c>
      <c r="AA5236" s="609"/>
    </row>
    <row r="5237" spans="1:27" ht="18">
      <c r="A5237" s="2714"/>
      <c r="B5237" s="371">
        <v>125</v>
      </c>
      <c r="C5237" s="371" t="s">
        <v>2791</v>
      </c>
      <c r="D5237" s="2716">
        <f t="shared" si="561"/>
        <v>0</v>
      </c>
      <c r="E5237" s="2721">
        <v>1</v>
      </c>
      <c r="F5237" s="294"/>
      <c r="G5237" s="1504" t="s">
        <v>2792</v>
      </c>
      <c r="H5237" s="2329">
        <v>0</v>
      </c>
      <c r="I5237" s="360"/>
      <c r="J5237" s="2696">
        <v>0</v>
      </c>
      <c r="M5237" s="291"/>
      <c r="N5237" s="291"/>
      <c r="O5237" s="291"/>
      <c r="P5237" s="291"/>
      <c r="S5237" s="364"/>
      <c r="Z5237" s="609" t="s">
        <v>4433</v>
      </c>
      <c r="AA5237" s="609"/>
    </row>
    <row r="5238" spans="1:27" ht="18">
      <c r="A5238" s="2714"/>
      <c r="B5238" s="371">
        <v>126</v>
      </c>
      <c r="C5238" s="371"/>
      <c r="D5238" s="2716">
        <f t="shared" si="561"/>
        <v>1</v>
      </c>
      <c r="E5238" s="2721" t="s">
        <v>41</v>
      </c>
      <c r="F5238" s="294"/>
      <c r="G5238" s="2589" t="s">
        <v>6177</v>
      </c>
      <c r="H5238" s="309"/>
      <c r="I5238" s="360"/>
      <c r="J5238" s="346"/>
      <c r="K5238" s="1587" t="s">
        <v>977</v>
      </c>
      <c r="M5238" s="291"/>
      <c r="N5238" s="291"/>
      <c r="O5238" s="291"/>
      <c r="P5238" s="291"/>
      <c r="S5238" s="364"/>
      <c r="Z5238" s="609" t="s">
        <v>4433</v>
      </c>
      <c r="AA5238" s="609"/>
    </row>
    <row r="5239" spans="1:27" ht="18">
      <c r="A5239" s="2714"/>
      <c r="B5239" s="371">
        <v>127</v>
      </c>
      <c r="C5239" s="371" t="s">
        <v>2791</v>
      </c>
      <c r="D5239" s="2716">
        <f t="shared" si="561"/>
        <v>1</v>
      </c>
      <c r="E5239" s="2721">
        <v>1</v>
      </c>
      <c r="F5239" s="294"/>
      <c r="G5239" s="1504" t="str">
        <f>"其中："&amp;G5238&amp;"（美元）"</f>
        <v>其中：长期应收款（美元）</v>
      </c>
      <c r="H5239" s="309"/>
      <c r="I5239" s="360"/>
      <c r="J5239" s="346"/>
      <c r="M5239" s="291"/>
      <c r="N5239" s="291"/>
      <c r="O5239" s="291"/>
      <c r="P5239" s="291"/>
      <c r="S5239" s="364"/>
      <c r="Z5239" s="609" t="s">
        <v>4433</v>
      </c>
      <c r="AA5239" s="609"/>
    </row>
    <row r="5240" spans="1:27" ht="18">
      <c r="A5240" s="2714"/>
      <c r="B5240" s="371">
        <v>128</v>
      </c>
      <c r="C5240" s="371" t="s">
        <v>2791</v>
      </c>
      <c r="D5240" s="2716">
        <f t="shared" si="561"/>
        <v>1</v>
      </c>
      <c r="E5240" s="2721">
        <v>1</v>
      </c>
      <c r="F5240" s="294"/>
      <c r="G5240" s="1504" t="str">
        <f>G5238&amp;"（欧元）"</f>
        <v>长期应收款（欧元）</v>
      </c>
      <c r="H5240" s="309"/>
      <c r="I5240" s="360"/>
      <c r="J5240" s="346"/>
      <c r="M5240" s="291"/>
      <c r="N5240" s="291"/>
      <c r="O5240" s="291"/>
      <c r="P5240" s="291"/>
      <c r="S5240" s="364"/>
      <c r="Z5240" s="609" t="s">
        <v>4433</v>
      </c>
      <c r="AA5240" s="609"/>
    </row>
    <row r="5241" spans="1:27" ht="18">
      <c r="A5241" s="2714"/>
      <c r="B5241" s="371">
        <v>129</v>
      </c>
      <c r="C5241" s="371" t="s">
        <v>2791</v>
      </c>
      <c r="D5241" s="2716">
        <f t="shared" si="561"/>
        <v>1</v>
      </c>
      <c r="E5241" s="2721">
        <v>1</v>
      </c>
      <c r="F5241" s="294"/>
      <c r="G5241" s="1504" t="str">
        <f>G5238&amp;"（港币）"</f>
        <v>长期应收款（港币）</v>
      </c>
      <c r="H5241" s="309"/>
      <c r="I5241" s="360"/>
      <c r="J5241" s="346"/>
      <c r="M5241" s="291"/>
      <c r="N5241" s="291"/>
      <c r="O5241" s="291"/>
      <c r="P5241" s="291"/>
      <c r="S5241" s="364"/>
      <c r="Z5241" s="609" t="s">
        <v>4433</v>
      </c>
      <c r="AA5241" s="609"/>
    </row>
    <row r="5242" spans="1:27" ht="18">
      <c r="A5242" s="2714"/>
      <c r="B5242" s="371">
        <v>130</v>
      </c>
      <c r="C5242" s="371" t="s">
        <v>2791</v>
      </c>
      <c r="D5242" s="2716">
        <f t="shared" si="561"/>
        <v>0</v>
      </c>
      <c r="E5242" s="2721">
        <v>1</v>
      </c>
      <c r="F5242" s="294"/>
      <c r="G5242" s="1504" t="s">
        <v>2792</v>
      </c>
      <c r="H5242" s="309"/>
      <c r="I5242" s="360"/>
      <c r="J5242" s="346"/>
      <c r="M5242" s="291"/>
      <c r="N5242" s="291"/>
      <c r="O5242" s="291"/>
      <c r="P5242" s="291"/>
      <c r="S5242" s="364"/>
      <c r="Z5242" s="609" t="s">
        <v>4433</v>
      </c>
      <c r="AA5242" s="609"/>
    </row>
    <row r="5243" spans="1:27" ht="18">
      <c r="A5243" s="2714"/>
      <c r="B5243" s="371">
        <v>132</v>
      </c>
      <c r="C5243" s="371"/>
      <c r="D5243" s="2716">
        <f t="shared" si="561"/>
        <v>1</v>
      </c>
      <c r="E5243" s="2721" t="s">
        <v>41</v>
      </c>
      <c r="F5243" s="294"/>
      <c r="G5243" s="308" t="s">
        <v>5256</v>
      </c>
      <c r="H5243" s="309"/>
      <c r="I5243" s="360"/>
      <c r="J5243" s="346"/>
      <c r="K5243" s="1587" t="s">
        <v>1437</v>
      </c>
      <c r="M5243" s="291"/>
      <c r="N5243" s="291"/>
      <c r="O5243" s="291"/>
      <c r="P5243" s="291"/>
      <c r="S5243" s="364"/>
      <c r="Z5243" s="609" t="s">
        <v>4433</v>
      </c>
      <c r="AA5243" s="609"/>
    </row>
    <row r="5244" spans="1:27" ht="18">
      <c r="A5244" s="2714"/>
      <c r="B5244" s="371">
        <v>133</v>
      </c>
      <c r="C5244" s="371" t="s">
        <v>2791</v>
      </c>
      <c r="D5244" s="2716">
        <f t="shared" si="561"/>
        <v>1</v>
      </c>
      <c r="E5244" s="2721">
        <v>1</v>
      </c>
      <c r="F5244" s="294"/>
      <c r="G5244" s="1497" t="str">
        <f>"其中："&amp;G5243&amp;"（美元）"</f>
        <v>其中：应付账款（美元）</v>
      </c>
      <c r="H5244" s="309"/>
      <c r="I5244" s="360"/>
      <c r="J5244" s="346"/>
      <c r="M5244" s="291"/>
      <c r="N5244" s="291"/>
      <c r="O5244" s="291"/>
      <c r="P5244" s="291"/>
      <c r="S5244" s="364"/>
      <c r="Z5244" s="609" t="s">
        <v>4433</v>
      </c>
      <c r="AA5244" s="609"/>
    </row>
    <row r="5245" spans="1:27" ht="18">
      <c r="A5245" s="2714"/>
      <c r="B5245" s="371">
        <v>134</v>
      </c>
      <c r="C5245" s="371" t="s">
        <v>2791</v>
      </c>
      <c r="D5245" s="2716">
        <f t="shared" ref="D5245:D5274" si="562">IF(OR(G5245="*",G5245="",G5245=0),0,COUNTIF($G$5213:$G$5274,G5245))</f>
        <v>1</v>
      </c>
      <c r="E5245" s="2721">
        <v>1</v>
      </c>
      <c r="F5245" s="294"/>
      <c r="G5245" s="1497" t="str">
        <f>G5243&amp;"（欧元）"</f>
        <v>应付账款（欧元）</v>
      </c>
      <c r="H5245" s="309"/>
      <c r="I5245" s="360"/>
      <c r="J5245" s="346"/>
      <c r="M5245" s="291"/>
      <c r="N5245" s="291"/>
      <c r="O5245" s="291"/>
      <c r="P5245" s="291"/>
      <c r="S5245" s="364"/>
      <c r="Z5245" s="609" t="s">
        <v>4433</v>
      </c>
      <c r="AA5245" s="609"/>
    </row>
    <row r="5246" spans="1:27" ht="18">
      <c r="A5246" s="2714"/>
      <c r="B5246" s="371">
        <v>135</v>
      </c>
      <c r="C5246" s="371" t="s">
        <v>2791</v>
      </c>
      <c r="D5246" s="2716">
        <f t="shared" si="562"/>
        <v>1</v>
      </c>
      <c r="E5246" s="2721">
        <v>1</v>
      </c>
      <c r="F5246" s="294"/>
      <c r="G5246" s="1497" t="str">
        <f>G5243&amp;"（港币）"</f>
        <v>应付账款（港币）</v>
      </c>
      <c r="H5246" s="309"/>
      <c r="I5246" s="360"/>
      <c r="J5246" s="346"/>
      <c r="M5246" s="291"/>
      <c r="N5246" s="291"/>
      <c r="O5246" s="291"/>
      <c r="P5246" s="291"/>
      <c r="S5246" s="364"/>
      <c r="Z5246" s="609" t="s">
        <v>4433</v>
      </c>
      <c r="AA5246" s="609"/>
    </row>
    <row r="5247" spans="1:27" ht="18">
      <c r="A5247" s="2714"/>
      <c r="B5247" s="371">
        <v>136</v>
      </c>
      <c r="C5247" s="371" t="s">
        <v>2791</v>
      </c>
      <c r="D5247" s="2716">
        <f t="shared" si="562"/>
        <v>0</v>
      </c>
      <c r="E5247" s="2721">
        <v>1</v>
      </c>
      <c r="F5247" s="294"/>
      <c r="G5247" s="1504" t="s">
        <v>2792</v>
      </c>
      <c r="H5247" s="309"/>
      <c r="I5247" s="360"/>
      <c r="J5247" s="346"/>
      <c r="M5247" s="291"/>
      <c r="N5247" s="291"/>
      <c r="O5247" s="291"/>
      <c r="P5247" s="291"/>
      <c r="S5247" s="364"/>
      <c r="Z5247" s="609" t="s">
        <v>4433</v>
      </c>
      <c r="AA5247" s="609"/>
    </row>
    <row r="5248" spans="1:27" ht="18">
      <c r="A5248" s="2714"/>
      <c r="B5248" s="371">
        <v>137</v>
      </c>
      <c r="C5248" s="371"/>
      <c r="D5248" s="2716">
        <f t="shared" si="562"/>
        <v>1</v>
      </c>
      <c r="E5248" s="2721" t="s">
        <v>41</v>
      </c>
      <c r="F5248" s="294"/>
      <c r="G5248" s="308" t="s">
        <v>5257</v>
      </c>
      <c r="H5248" s="309"/>
      <c r="I5248" s="360"/>
      <c r="J5248" s="346"/>
      <c r="K5248" s="1587" t="s">
        <v>1584</v>
      </c>
      <c r="M5248" s="291"/>
      <c r="N5248" s="291"/>
      <c r="O5248" s="291"/>
      <c r="P5248" s="291"/>
      <c r="S5248" s="364"/>
      <c r="Z5248" s="609" t="s">
        <v>4433</v>
      </c>
      <c r="AA5248" s="609"/>
    </row>
    <row r="5249" spans="1:27" ht="18">
      <c r="A5249" s="2714"/>
      <c r="B5249" s="371">
        <v>138</v>
      </c>
      <c r="C5249" s="371" t="s">
        <v>2791</v>
      </c>
      <c r="D5249" s="2716">
        <f t="shared" si="562"/>
        <v>1</v>
      </c>
      <c r="E5249" s="2721">
        <v>1</v>
      </c>
      <c r="F5249" s="294"/>
      <c r="G5249" s="1497" t="str">
        <f>"其中："&amp;G5248&amp;"（美元）"</f>
        <v>其中：其他应付款（美元）</v>
      </c>
      <c r="H5249" s="309"/>
      <c r="I5249" s="360"/>
      <c r="J5249" s="346"/>
      <c r="M5249" s="291"/>
      <c r="N5249" s="291"/>
      <c r="O5249" s="291"/>
      <c r="P5249" s="291"/>
      <c r="S5249" s="364"/>
      <c r="Z5249" s="609" t="s">
        <v>4433</v>
      </c>
      <c r="AA5249" s="609"/>
    </row>
    <row r="5250" spans="1:27" ht="18">
      <c r="A5250" s="2714"/>
      <c r="B5250" s="371">
        <v>139</v>
      </c>
      <c r="C5250" s="371" t="s">
        <v>2791</v>
      </c>
      <c r="D5250" s="2716">
        <f t="shared" si="562"/>
        <v>1</v>
      </c>
      <c r="E5250" s="2721">
        <v>1</v>
      </c>
      <c r="F5250" s="294"/>
      <c r="G5250" s="1497" t="str">
        <f>G5248&amp;"（欧元）"</f>
        <v>其他应付款（欧元）</v>
      </c>
      <c r="H5250" s="309"/>
      <c r="I5250" s="360"/>
      <c r="J5250" s="346"/>
      <c r="M5250" s="291"/>
      <c r="N5250" s="291"/>
      <c r="O5250" s="291"/>
      <c r="P5250" s="291"/>
      <c r="S5250" s="364"/>
      <c r="Z5250" s="609" t="s">
        <v>4433</v>
      </c>
      <c r="AA5250" s="609"/>
    </row>
    <row r="5251" spans="1:27" ht="18">
      <c r="A5251" s="2714"/>
      <c r="B5251" s="371">
        <v>140</v>
      </c>
      <c r="C5251" s="371" t="s">
        <v>2791</v>
      </c>
      <c r="D5251" s="2716">
        <f t="shared" si="562"/>
        <v>1</v>
      </c>
      <c r="E5251" s="2721">
        <v>1</v>
      </c>
      <c r="F5251" s="294"/>
      <c r="G5251" s="1497" t="str">
        <f>G5248&amp;"（港币）"</f>
        <v>其他应付款（港币）</v>
      </c>
      <c r="H5251" s="309"/>
      <c r="I5251" s="360"/>
      <c r="J5251" s="346"/>
      <c r="M5251" s="291"/>
      <c r="N5251" s="291"/>
      <c r="O5251" s="291"/>
      <c r="P5251" s="291"/>
      <c r="S5251" s="364"/>
      <c r="Z5251" s="609" t="s">
        <v>4433</v>
      </c>
      <c r="AA5251" s="609"/>
    </row>
    <row r="5252" spans="1:27" ht="18">
      <c r="A5252" s="2714"/>
      <c r="B5252" s="371">
        <v>141</v>
      </c>
      <c r="C5252" s="371" t="s">
        <v>2791</v>
      </c>
      <c r="D5252" s="2716">
        <f t="shared" si="562"/>
        <v>0</v>
      </c>
      <c r="E5252" s="2721">
        <v>1</v>
      </c>
      <c r="F5252" s="294"/>
      <c r="G5252" s="1504" t="s">
        <v>2792</v>
      </c>
      <c r="H5252" s="309"/>
      <c r="I5252" s="360"/>
      <c r="J5252" s="346"/>
      <c r="M5252" s="291"/>
      <c r="N5252" s="291"/>
      <c r="O5252" s="291"/>
      <c r="P5252" s="291"/>
      <c r="S5252" s="364"/>
      <c r="Z5252" s="609" t="s">
        <v>4433</v>
      </c>
      <c r="AA5252" s="609"/>
    </row>
    <row r="5253" spans="1:27" ht="18">
      <c r="A5253" s="2714"/>
      <c r="B5253" s="371">
        <v>142</v>
      </c>
      <c r="C5253" s="371"/>
      <c r="D5253" s="2716">
        <f t="shared" si="562"/>
        <v>1</v>
      </c>
      <c r="E5253" s="2721" t="s">
        <v>41</v>
      </c>
      <c r="F5253" s="294"/>
      <c r="G5253" s="308" t="s">
        <v>5258</v>
      </c>
      <c r="H5253" s="309"/>
      <c r="I5253" s="360"/>
      <c r="J5253" s="346"/>
      <c r="K5253" s="1587" t="s">
        <v>1385</v>
      </c>
      <c r="M5253" s="291"/>
      <c r="N5253" s="291"/>
      <c r="O5253" s="291"/>
      <c r="P5253" s="291"/>
      <c r="S5253" s="364"/>
      <c r="Z5253" s="609" t="s">
        <v>4433</v>
      </c>
      <c r="AA5253" s="609"/>
    </row>
    <row r="5254" spans="1:27" ht="18">
      <c r="A5254" s="2714"/>
      <c r="B5254" s="371">
        <v>143</v>
      </c>
      <c r="C5254" s="371" t="s">
        <v>2791</v>
      </c>
      <c r="D5254" s="2716">
        <f t="shared" si="562"/>
        <v>1</v>
      </c>
      <c r="E5254" s="2721">
        <v>1</v>
      </c>
      <c r="F5254" s="294"/>
      <c r="G5254" s="1497" t="str">
        <f>"其中："&amp;G5253&amp;"（美元）"</f>
        <v>其中：短期借款（美元）</v>
      </c>
      <c r="H5254" s="309"/>
      <c r="I5254" s="360"/>
      <c r="J5254" s="346"/>
      <c r="M5254" s="291"/>
      <c r="N5254" s="291"/>
      <c r="O5254" s="291"/>
      <c r="P5254" s="291"/>
      <c r="S5254" s="364"/>
      <c r="Z5254" s="609" t="s">
        <v>4433</v>
      </c>
      <c r="AA5254" s="609"/>
    </row>
    <row r="5255" spans="1:27" ht="18">
      <c r="A5255" s="2714"/>
      <c r="B5255" s="371">
        <v>144</v>
      </c>
      <c r="C5255" s="371" t="s">
        <v>2791</v>
      </c>
      <c r="D5255" s="2716">
        <f t="shared" si="562"/>
        <v>1</v>
      </c>
      <c r="E5255" s="2721">
        <v>1</v>
      </c>
      <c r="F5255" s="294"/>
      <c r="G5255" s="1497" t="str">
        <f>G5253&amp;"（欧元）"</f>
        <v>短期借款（欧元）</v>
      </c>
      <c r="H5255" s="309"/>
      <c r="I5255" s="360"/>
      <c r="J5255" s="346"/>
      <c r="M5255" s="291"/>
      <c r="N5255" s="291"/>
      <c r="O5255" s="291"/>
      <c r="P5255" s="291"/>
      <c r="S5255" s="364"/>
      <c r="Z5255" s="609" t="s">
        <v>4433</v>
      </c>
      <c r="AA5255" s="609"/>
    </row>
    <row r="5256" spans="1:27" ht="18">
      <c r="A5256" s="2714"/>
      <c r="B5256" s="371">
        <v>145</v>
      </c>
      <c r="C5256" s="371" t="s">
        <v>2791</v>
      </c>
      <c r="D5256" s="2716">
        <f t="shared" si="562"/>
        <v>1</v>
      </c>
      <c r="E5256" s="2721">
        <v>1</v>
      </c>
      <c r="F5256" s="294"/>
      <c r="G5256" s="1497" t="str">
        <f>G5253&amp;"（港币）"</f>
        <v>短期借款（港币）</v>
      </c>
      <c r="H5256" s="309"/>
      <c r="I5256" s="360"/>
      <c r="J5256" s="346"/>
      <c r="M5256" s="291"/>
      <c r="N5256" s="291"/>
      <c r="O5256" s="291"/>
      <c r="P5256" s="291"/>
      <c r="S5256" s="364"/>
      <c r="Z5256" s="609" t="s">
        <v>4433</v>
      </c>
      <c r="AA5256" s="609"/>
    </row>
    <row r="5257" spans="1:27" ht="18">
      <c r="A5257" s="2714"/>
      <c r="B5257" s="371">
        <v>146</v>
      </c>
      <c r="C5257" s="371" t="s">
        <v>6533</v>
      </c>
      <c r="D5257" s="2716">
        <f t="shared" si="562"/>
        <v>0</v>
      </c>
      <c r="E5257" s="2721">
        <v>1</v>
      </c>
      <c r="F5257" s="294"/>
      <c r="G5257" s="1504" t="s">
        <v>2792</v>
      </c>
      <c r="H5257" s="309"/>
      <c r="I5257" s="360"/>
      <c r="J5257" s="346"/>
      <c r="M5257" s="291"/>
      <c r="N5257" s="291"/>
      <c r="O5257" s="291"/>
      <c r="P5257" s="291"/>
      <c r="S5257" s="364"/>
      <c r="Z5257" s="609" t="s">
        <v>4433</v>
      </c>
      <c r="AA5257" s="609"/>
    </row>
    <row r="5258" spans="1:27" ht="18">
      <c r="A5258" s="2714"/>
      <c r="B5258" s="371">
        <v>147</v>
      </c>
      <c r="C5258" s="371"/>
      <c r="D5258" s="2716">
        <f t="shared" si="562"/>
        <v>1</v>
      </c>
      <c r="E5258" s="2721" t="s">
        <v>41</v>
      </c>
      <c r="F5258" s="294"/>
      <c r="G5258" s="308" t="s">
        <v>5259</v>
      </c>
      <c r="H5258" s="309"/>
      <c r="I5258" s="360"/>
      <c r="J5258" s="346"/>
      <c r="K5258" s="1587" t="s">
        <v>5589</v>
      </c>
      <c r="M5258" s="291"/>
      <c r="N5258" s="291"/>
      <c r="O5258" s="291"/>
      <c r="P5258" s="291"/>
      <c r="S5258" s="364"/>
      <c r="Z5258" s="609" t="s">
        <v>4433</v>
      </c>
      <c r="AA5258" s="609"/>
    </row>
    <row r="5259" spans="1:27" ht="18">
      <c r="A5259" s="2714"/>
      <c r="B5259" s="371">
        <v>148</v>
      </c>
      <c r="C5259" s="371" t="s">
        <v>2791</v>
      </c>
      <c r="D5259" s="2716">
        <f t="shared" si="562"/>
        <v>1</v>
      </c>
      <c r="E5259" s="2721">
        <v>1</v>
      </c>
      <c r="F5259" s="294"/>
      <c r="G5259" s="1497" t="str">
        <f>"其中："&amp;G5258&amp;"（美元）"</f>
        <v>其中：应付债券（美元）</v>
      </c>
      <c r="H5259" s="309"/>
      <c r="I5259" s="360"/>
      <c r="J5259" s="346"/>
      <c r="M5259" s="291"/>
      <c r="N5259" s="291"/>
      <c r="O5259" s="291"/>
      <c r="P5259" s="291"/>
      <c r="S5259" s="364"/>
      <c r="Z5259" s="609" t="s">
        <v>4433</v>
      </c>
      <c r="AA5259" s="609"/>
    </row>
    <row r="5260" spans="1:27" ht="18">
      <c r="A5260" s="2714"/>
      <c r="B5260" s="371">
        <v>149</v>
      </c>
      <c r="C5260" s="371" t="s">
        <v>2791</v>
      </c>
      <c r="D5260" s="2716">
        <f t="shared" si="562"/>
        <v>1</v>
      </c>
      <c r="E5260" s="2721">
        <v>1</v>
      </c>
      <c r="F5260" s="294"/>
      <c r="G5260" s="1497" t="str">
        <f>G5258&amp;"（欧元）"</f>
        <v>应付债券（欧元）</v>
      </c>
      <c r="H5260" s="309"/>
      <c r="I5260" s="360"/>
      <c r="J5260" s="346"/>
      <c r="M5260" s="291"/>
      <c r="N5260" s="291"/>
      <c r="O5260" s="291"/>
      <c r="P5260" s="291"/>
      <c r="S5260" s="364"/>
      <c r="Z5260" s="609" t="s">
        <v>4433</v>
      </c>
      <c r="AA5260" s="609"/>
    </row>
    <row r="5261" spans="1:27" ht="18">
      <c r="A5261" s="2714"/>
      <c r="B5261" s="371">
        <v>150</v>
      </c>
      <c r="C5261" s="371" t="s">
        <v>2791</v>
      </c>
      <c r="D5261" s="2716">
        <f t="shared" si="562"/>
        <v>1</v>
      </c>
      <c r="E5261" s="2721">
        <v>1</v>
      </c>
      <c r="F5261" s="294"/>
      <c r="G5261" s="1497" t="str">
        <f>G5258&amp;"（港币）"</f>
        <v>应付债券（港币）</v>
      </c>
      <c r="H5261" s="309"/>
      <c r="I5261" s="360"/>
      <c r="J5261" s="346"/>
      <c r="M5261" s="291"/>
      <c r="N5261" s="291"/>
      <c r="O5261" s="291"/>
      <c r="P5261" s="291"/>
      <c r="S5261" s="364"/>
      <c r="Z5261" s="609" t="s">
        <v>4433</v>
      </c>
      <c r="AA5261" s="609"/>
    </row>
    <row r="5262" spans="1:27" ht="18">
      <c r="A5262" s="2714"/>
      <c r="B5262" s="371">
        <v>151</v>
      </c>
      <c r="C5262" s="371" t="s">
        <v>2791</v>
      </c>
      <c r="D5262" s="2716">
        <f t="shared" si="562"/>
        <v>0</v>
      </c>
      <c r="E5262" s="2721">
        <v>1</v>
      </c>
      <c r="F5262" s="294"/>
      <c r="G5262" s="1504" t="s">
        <v>2792</v>
      </c>
      <c r="H5262" s="309"/>
      <c r="I5262" s="360"/>
      <c r="J5262" s="346"/>
      <c r="M5262" s="291"/>
      <c r="N5262" s="291"/>
      <c r="O5262" s="291"/>
      <c r="P5262" s="291"/>
      <c r="S5262" s="364"/>
      <c r="Z5262" s="609" t="s">
        <v>4433</v>
      </c>
      <c r="AA5262" s="609"/>
    </row>
    <row r="5263" spans="1:27" ht="18">
      <c r="A5263" s="2714"/>
      <c r="B5263" s="371">
        <v>152</v>
      </c>
      <c r="C5263" s="371"/>
      <c r="D5263" s="2716">
        <f t="shared" si="562"/>
        <v>1</v>
      </c>
      <c r="E5263" s="2721" t="s">
        <v>41</v>
      </c>
      <c r="F5263" s="294"/>
      <c r="G5263" s="1505" t="s">
        <v>546</v>
      </c>
      <c r="H5263" s="309"/>
      <c r="I5263" s="360"/>
      <c r="J5263" s="346"/>
      <c r="K5263" s="1587" t="s">
        <v>1657</v>
      </c>
      <c r="M5263" s="291"/>
      <c r="N5263" s="291"/>
      <c r="O5263" s="291"/>
      <c r="P5263" s="291"/>
      <c r="S5263" s="364"/>
      <c r="Z5263" s="609" t="s">
        <v>4433</v>
      </c>
      <c r="AA5263" s="609"/>
    </row>
    <row r="5264" spans="1:27" ht="18">
      <c r="A5264" s="2714"/>
      <c r="B5264" s="371">
        <v>153</v>
      </c>
      <c r="C5264" s="371" t="s">
        <v>2791</v>
      </c>
      <c r="D5264" s="2716">
        <f t="shared" si="562"/>
        <v>1</v>
      </c>
      <c r="E5264" s="2721">
        <v>1</v>
      </c>
      <c r="F5264" s="294"/>
      <c r="G5264" s="1497" t="str">
        <f>"其中："&amp;G5263&amp;"（美元）"</f>
        <v>其中：长期借款（美元）</v>
      </c>
      <c r="H5264" s="309"/>
      <c r="I5264" s="360"/>
      <c r="J5264" s="346"/>
      <c r="M5264" s="291"/>
      <c r="N5264" s="291"/>
      <c r="O5264" s="291"/>
      <c r="P5264" s="291"/>
      <c r="S5264" s="364"/>
      <c r="Z5264" s="609" t="s">
        <v>4433</v>
      </c>
      <c r="AA5264" s="609"/>
    </row>
    <row r="5265" spans="1:27" ht="18">
      <c r="A5265" s="2714"/>
      <c r="B5265" s="371">
        <v>154</v>
      </c>
      <c r="C5265" s="371" t="s">
        <v>2791</v>
      </c>
      <c r="D5265" s="2716">
        <f t="shared" si="562"/>
        <v>1</v>
      </c>
      <c r="E5265" s="2721">
        <v>1</v>
      </c>
      <c r="F5265" s="294"/>
      <c r="G5265" s="1497" t="str">
        <f>G5263&amp;"（欧元）"</f>
        <v>长期借款（欧元）</v>
      </c>
      <c r="H5265" s="309"/>
      <c r="I5265" s="360"/>
      <c r="J5265" s="346"/>
      <c r="M5265" s="291"/>
      <c r="N5265" s="291"/>
      <c r="O5265" s="291"/>
      <c r="P5265" s="291"/>
      <c r="S5265" s="364"/>
      <c r="Z5265" s="609" t="s">
        <v>4433</v>
      </c>
      <c r="AA5265" s="609"/>
    </row>
    <row r="5266" spans="1:27" ht="18">
      <c r="A5266" s="2714"/>
      <c r="B5266" s="371">
        <v>155</v>
      </c>
      <c r="C5266" s="371" t="s">
        <v>2791</v>
      </c>
      <c r="D5266" s="2716">
        <f t="shared" si="562"/>
        <v>1</v>
      </c>
      <c r="E5266" s="2721">
        <v>1</v>
      </c>
      <c r="F5266" s="294"/>
      <c r="G5266" s="1497" t="str">
        <f>G5263&amp;"（港币）"</f>
        <v>长期借款（港币）</v>
      </c>
      <c r="H5266" s="309"/>
      <c r="I5266" s="360"/>
      <c r="J5266" s="346"/>
      <c r="M5266" s="291"/>
      <c r="N5266" s="291"/>
      <c r="O5266" s="291"/>
      <c r="P5266" s="291"/>
      <c r="S5266" s="364"/>
      <c r="Z5266" s="609" t="s">
        <v>4433</v>
      </c>
      <c r="AA5266" s="609"/>
    </row>
    <row r="5267" spans="1:27" ht="18">
      <c r="A5267" s="2714"/>
      <c r="B5267" s="371">
        <v>156</v>
      </c>
      <c r="C5267" s="371" t="s">
        <v>2791</v>
      </c>
      <c r="D5267" s="2716">
        <f t="shared" si="562"/>
        <v>0</v>
      </c>
      <c r="E5267" s="2721">
        <v>1</v>
      </c>
      <c r="F5267" s="294"/>
      <c r="G5267" s="1504" t="s">
        <v>2792</v>
      </c>
      <c r="H5267" s="309"/>
      <c r="I5267" s="360"/>
      <c r="J5267" s="346"/>
      <c r="M5267" s="291"/>
      <c r="N5267" s="291"/>
      <c r="O5267" s="291"/>
      <c r="P5267" s="291"/>
      <c r="S5267" s="364"/>
      <c r="Z5267" s="609" t="s">
        <v>4433</v>
      </c>
      <c r="AA5267" s="609"/>
    </row>
    <row r="5268" spans="1:27" ht="18">
      <c r="A5268" s="2714"/>
      <c r="B5268" s="371">
        <v>157</v>
      </c>
      <c r="C5268" s="371"/>
      <c r="D5268" s="2716">
        <f t="shared" si="562"/>
        <v>1</v>
      </c>
      <c r="E5268" s="2721" t="s">
        <v>41</v>
      </c>
      <c r="F5268" s="294"/>
      <c r="G5268" s="308" t="s">
        <v>5260</v>
      </c>
      <c r="H5268" s="309"/>
      <c r="I5268" s="360"/>
      <c r="J5268" s="346"/>
      <c r="K5268" s="1587" t="s">
        <v>1692</v>
      </c>
      <c r="M5268" s="291"/>
      <c r="N5268" s="291"/>
      <c r="O5268" s="291"/>
      <c r="P5268" s="291"/>
      <c r="S5268" s="364"/>
      <c r="Z5268" s="609" t="s">
        <v>4433</v>
      </c>
      <c r="AA5268" s="609"/>
    </row>
    <row r="5269" spans="1:27" ht="18">
      <c r="A5269" s="2714"/>
      <c r="B5269" s="371">
        <v>158</v>
      </c>
      <c r="C5269" s="371" t="s">
        <v>2791</v>
      </c>
      <c r="D5269" s="2716">
        <f t="shared" si="562"/>
        <v>1</v>
      </c>
      <c r="E5269" s="2721">
        <v>1</v>
      </c>
      <c r="F5269" s="294"/>
      <c r="G5269" s="1497" t="str">
        <f>"其中："&amp;G5268&amp;"（美元）"</f>
        <v>其中：长期应付款（美元）</v>
      </c>
      <c r="H5269" s="309"/>
      <c r="I5269" s="360"/>
      <c r="J5269" s="346"/>
      <c r="M5269" s="291"/>
      <c r="N5269" s="291"/>
      <c r="O5269" s="291"/>
      <c r="P5269" s="291"/>
      <c r="S5269" s="364"/>
      <c r="Z5269" s="609" t="s">
        <v>4433</v>
      </c>
      <c r="AA5269" s="609"/>
    </row>
    <row r="5270" spans="1:27" ht="18">
      <c r="A5270" s="2714"/>
      <c r="B5270" s="371">
        <v>159</v>
      </c>
      <c r="C5270" s="371" t="s">
        <v>2791</v>
      </c>
      <c r="D5270" s="2716">
        <f t="shared" si="562"/>
        <v>1</v>
      </c>
      <c r="E5270" s="2721">
        <v>1</v>
      </c>
      <c r="F5270" s="294"/>
      <c r="G5270" s="1497" t="str">
        <f>G5268&amp;"（欧元）"</f>
        <v>长期应付款（欧元）</v>
      </c>
      <c r="H5270" s="309"/>
      <c r="I5270" s="360"/>
      <c r="J5270" s="346"/>
      <c r="M5270" s="291"/>
      <c r="N5270" s="291"/>
      <c r="O5270" s="291"/>
      <c r="P5270" s="291"/>
      <c r="S5270" s="364"/>
      <c r="Z5270" s="609" t="s">
        <v>4433</v>
      </c>
      <c r="AA5270" s="609"/>
    </row>
    <row r="5271" spans="1:27" ht="18">
      <c r="A5271" s="2714"/>
      <c r="B5271" s="371">
        <v>160</v>
      </c>
      <c r="C5271" s="371" t="s">
        <v>2791</v>
      </c>
      <c r="D5271" s="2716">
        <f t="shared" si="562"/>
        <v>1</v>
      </c>
      <c r="E5271" s="2721">
        <v>1</v>
      </c>
      <c r="F5271" s="294"/>
      <c r="G5271" s="1497" t="str">
        <f>G5268&amp;"（港币）"</f>
        <v>长期应付款（港币）</v>
      </c>
      <c r="H5271" s="309"/>
      <c r="I5271" s="360"/>
      <c r="J5271" s="346"/>
      <c r="M5271" s="291"/>
      <c r="N5271" s="291"/>
      <c r="O5271" s="291"/>
      <c r="P5271" s="291"/>
      <c r="S5271" s="364"/>
      <c r="Z5271" s="609" t="s">
        <v>4433</v>
      </c>
      <c r="AA5271" s="609"/>
    </row>
    <row r="5272" spans="1:27" ht="18">
      <c r="A5272" s="2714"/>
      <c r="B5272" s="371">
        <v>161</v>
      </c>
      <c r="C5272" s="371" t="s">
        <v>2791</v>
      </c>
      <c r="D5272" s="2716">
        <f t="shared" si="562"/>
        <v>0</v>
      </c>
      <c r="E5272" s="2721">
        <v>1</v>
      </c>
      <c r="F5272" s="294"/>
      <c r="G5272" s="1504" t="s">
        <v>2792</v>
      </c>
      <c r="H5272" s="309"/>
      <c r="I5272" s="360"/>
      <c r="J5272" s="346"/>
      <c r="M5272" s="291"/>
      <c r="N5272" s="291"/>
      <c r="O5272" s="291"/>
      <c r="P5272" s="291"/>
      <c r="S5272" s="364"/>
      <c r="Z5272" s="609" t="s">
        <v>4433</v>
      </c>
      <c r="AA5272" s="609"/>
    </row>
    <row r="5273" spans="1:27" ht="18">
      <c r="A5273" s="2714"/>
      <c r="B5273" s="371">
        <v>162</v>
      </c>
      <c r="C5273" s="371" t="s">
        <v>6533</v>
      </c>
      <c r="D5273" s="2716">
        <f t="shared" si="562"/>
        <v>0</v>
      </c>
      <c r="E5273" s="2721">
        <v>1</v>
      </c>
      <c r="F5273" s="294"/>
      <c r="G5273" s="1497" t="s">
        <v>2792</v>
      </c>
      <c r="H5273" s="309"/>
      <c r="I5273" s="360"/>
      <c r="J5273" s="346"/>
      <c r="M5273" s="291"/>
      <c r="N5273" s="291"/>
      <c r="O5273" s="291"/>
      <c r="P5273" s="291"/>
      <c r="S5273" s="364"/>
      <c r="Z5273" s="609" t="s">
        <v>4433</v>
      </c>
      <c r="AA5273" s="609"/>
    </row>
    <row r="5274" spans="1:27" ht="18.75" thickBot="1">
      <c r="A5274" s="2714"/>
      <c r="B5274" s="371"/>
      <c r="C5274" s="371"/>
      <c r="D5274" s="2716">
        <f t="shared" si="562"/>
        <v>0</v>
      </c>
      <c r="E5274" s="2721" t="s">
        <v>6568</v>
      </c>
      <c r="F5274" s="294"/>
      <c r="G5274" s="2429"/>
      <c r="H5274" s="2485"/>
      <c r="I5274" s="2486"/>
      <c r="J5274" s="2487"/>
      <c r="M5274" s="291"/>
      <c r="N5274" s="291"/>
      <c r="O5274" s="291"/>
      <c r="P5274" s="291"/>
      <c r="S5274" s="364"/>
      <c r="Z5274" s="609" t="s">
        <v>4433</v>
      </c>
      <c r="AA5274" s="609"/>
    </row>
    <row r="5275" spans="1:27" ht="18">
      <c r="A5275" s="2714"/>
      <c r="B5275" s="371"/>
      <c r="C5275" s="371" t="s">
        <v>2755</v>
      </c>
      <c r="D5275" s="371"/>
      <c r="F5275" s="294"/>
      <c r="G5275" s="301"/>
      <c r="H5275" s="315"/>
      <c r="I5275" s="393"/>
      <c r="J5275" s="315"/>
      <c r="K5275" s="349"/>
      <c r="L5275" s="350"/>
      <c r="M5275" s="291"/>
      <c r="N5275" s="291"/>
      <c r="O5275" s="291"/>
      <c r="P5275" s="291"/>
      <c r="S5275" s="364"/>
      <c r="Z5275" s="609" t="s">
        <v>4433</v>
      </c>
      <c r="AA5275" s="609"/>
    </row>
    <row r="5276" spans="1:27" ht="17.25">
      <c r="A5276" s="2715">
        <v>9371</v>
      </c>
      <c r="B5276" s="371">
        <v>84</v>
      </c>
      <c r="C5276" s="2716" t="str">
        <f>VLOOKUP($A5276,Sheet_Items,2,0)</f>
        <v>政府补助</v>
      </c>
      <c r="D5276" s="371"/>
      <c r="E5276" s="2716" t="s">
        <v>2739</v>
      </c>
      <c r="F5276" s="371"/>
      <c r="G5276" s="305" t="str">
        <f>B5276&amp;" "&amp;C5276</f>
        <v>84 政府补助</v>
      </c>
      <c r="H5276" s="306"/>
      <c r="I5276" s="306"/>
      <c r="J5276" s="306"/>
      <c r="K5276" s="341"/>
      <c r="L5276" s="342"/>
      <c r="M5276" s="306"/>
      <c r="N5276" s="341"/>
      <c r="O5276" s="342"/>
      <c r="P5276" s="301"/>
      <c r="S5276" s="364"/>
      <c r="Z5276" s="609" t="s">
        <v>2158</v>
      </c>
      <c r="AA5276" s="609" t="s">
        <v>19</v>
      </c>
    </row>
    <row r="5277" spans="1:27" ht="18">
      <c r="A5277" s="2714" t="s">
        <v>2156</v>
      </c>
      <c r="B5277" s="371">
        <v>1</v>
      </c>
      <c r="C5277" s="371"/>
      <c r="D5277" s="2716" t="str">
        <f>VLOOKUP($A5277,Sheet_NoteList,2,0)</f>
        <v>与资产相关的政府补助</v>
      </c>
      <c r="E5277" s="2716" t="s">
        <v>2742</v>
      </c>
      <c r="F5277" s="293"/>
      <c r="G5277" s="372" t="str">
        <f>"("&amp;B5277&amp;")"&amp;D5277</f>
        <v>(1)与资产相关的政府补助</v>
      </c>
      <c r="H5277" s="1517" t="str">
        <f>$A5277</f>
        <v>9371h</v>
      </c>
      <c r="I5277" s="343" t="s">
        <v>2743</v>
      </c>
      <c r="J5277" s="301" t="s">
        <v>2744</v>
      </c>
      <c r="K5277" s="2210">
        <f>J5290</f>
        <v>0</v>
      </c>
      <c r="L5277" s="349"/>
      <c r="M5277" s="301" t="s">
        <v>2745</v>
      </c>
      <c r="N5277" s="2210">
        <f>K5290</f>
        <v>0</v>
      </c>
      <c r="O5277" s="349"/>
      <c r="P5277" s="301"/>
      <c r="S5277" s="364"/>
      <c r="Z5277" s="609" t="s">
        <v>2158</v>
      </c>
      <c r="AA5277" s="609" t="s">
        <v>19</v>
      </c>
    </row>
    <row r="5278" spans="1:27" ht="0.75" customHeight="1">
      <c r="A5278" s="2714"/>
      <c r="B5278" s="371"/>
      <c r="C5278" s="371"/>
      <c r="D5278" s="2716"/>
      <c r="F5278" s="371"/>
      <c r="G5278" s="405" t="s">
        <v>4648</v>
      </c>
      <c r="H5278" s="371" t="s">
        <v>2747</v>
      </c>
      <c r="I5278" s="371" t="s">
        <v>2821</v>
      </c>
      <c r="J5278" s="371" t="s">
        <v>2948</v>
      </c>
      <c r="K5278" s="371" t="s">
        <v>3359</v>
      </c>
      <c r="L5278" s="547" t="s">
        <v>4649</v>
      </c>
      <c r="M5278" s="433"/>
      <c r="N5278" s="428"/>
      <c r="O5278" s="428"/>
      <c r="P5278" s="433"/>
      <c r="Q5278" s="442"/>
      <c r="R5278" s="443"/>
      <c r="S5278" s="364"/>
      <c r="Z5278" s="609" t="s">
        <v>2158</v>
      </c>
      <c r="AA5278" s="609" t="s">
        <v>19</v>
      </c>
    </row>
    <row r="5279" spans="1:27" ht="0.75" customHeight="1" thickBot="1">
      <c r="A5279" s="2714"/>
      <c r="B5279" s="371"/>
      <c r="C5279" s="371"/>
      <c r="D5279" s="2716"/>
      <c r="F5279" s="371"/>
      <c r="G5279" s="405"/>
      <c r="H5279" s="371" t="s">
        <v>4650</v>
      </c>
      <c r="I5279" s="371" t="s">
        <v>4651</v>
      </c>
      <c r="J5279" s="371" t="s">
        <v>4652</v>
      </c>
      <c r="K5279" s="547" t="s">
        <v>4653</v>
      </c>
      <c r="L5279" s="547" t="s">
        <v>4654</v>
      </c>
      <c r="M5279" s="433"/>
      <c r="N5279" s="428"/>
      <c r="O5279" s="428"/>
      <c r="P5279" s="433"/>
      <c r="Q5279" s="442"/>
      <c r="R5279" s="443"/>
      <c r="S5279" s="364"/>
      <c r="Z5279" s="609" t="s">
        <v>2158</v>
      </c>
      <c r="AA5279" s="609" t="s">
        <v>19</v>
      </c>
    </row>
    <row r="5280" spans="1:27" ht="25.5" customHeight="1">
      <c r="A5280" s="2714"/>
      <c r="B5280" s="371"/>
      <c r="C5280" s="371"/>
      <c r="D5280" s="2716"/>
      <c r="E5280" s="2716" t="s">
        <v>2749</v>
      </c>
      <c r="F5280" s="293"/>
      <c r="G5280" s="3224" t="s">
        <v>5494</v>
      </c>
      <c r="H5280" s="3202" t="s">
        <v>2887</v>
      </c>
      <c r="I5280" s="3202" t="s">
        <v>4655</v>
      </c>
      <c r="J5280" s="3202" t="s">
        <v>4656</v>
      </c>
      <c r="K5280" s="3202"/>
      <c r="L5280" s="3257" t="s">
        <v>4657</v>
      </c>
      <c r="M5280" s="2672" t="s">
        <v>5347</v>
      </c>
      <c r="N5280" s="428"/>
      <c r="O5280" s="428"/>
      <c r="P5280" s="433"/>
      <c r="Q5280" s="442"/>
      <c r="R5280" s="443"/>
      <c r="S5280" s="364"/>
      <c r="Z5280" s="609" t="s">
        <v>2158</v>
      </c>
      <c r="AA5280" s="609" t="s">
        <v>19</v>
      </c>
    </row>
    <row r="5281" spans="1:27" ht="28.5" customHeight="1">
      <c r="A5281" s="2714"/>
      <c r="B5281" s="371"/>
      <c r="C5281" s="371"/>
      <c r="D5281" s="2716"/>
      <c r="E5281" s="2716" t="s">
        <v>2749</v>
      </c>
      <c r="F5281" s="293"/>
      <c r="G5281" s="3225"/>
      <c r="H5281" s="3203"/>
      <c r="I5281" s="3203"/>
      <c r="J5281" s="408" t="str">
        <f>$V$4</f>
        <v>2019年度</v>
      </c>
      <c r="K5281" s="420" t="str">
        <f>$V$5</f>
        <v>2018年度</v>
      </c>
      <c r="L5281" s="3258"/>
      <c r="M5281" s="1511"/>
      <c r="N5281" s="434"/>
      <c r="O5281" s="434"/>
      <c r="P5281" s="1511"/>
      <c r="Q5281" s="442"/>
      <c r="R5281" s="443"/>
      <c r="S5281" s="364"/>
      <c r="Z5281" s="609" t="s">
        <v>2158</v>
      </c>
      <c r="AA5281" s="609" t="s">
        <v>19</v>
      </c>
    </row>
    <row r="5282" spans="1:27" ht="18">
      <c r="A5282" s="2714"/>
      <c r="B5282" s="371">
        <v>101</v>
      </c>
      <c r="C5282" s="371" t="s">
        <v>2791</v>
      </c>
      <c r="D5282" s="2716">
        <f t="shared" ref="D5282:D5290" si="563">IF(OR(G5282="*",G5282="",G5282=0),0,COUNTIF($G$5282:$G$5290,G5282))</f>
        <v>0</v>
      </c>
      <c r="E5282" s="2721">
        <v>1</v>
      </c>
      <c r="F5282" s="293"/>
      <c r="G5282" s="319" t="s">
        <v>2792</v>
      </c>
      <c r="H5282" s="309"/>
      <c r="I5282" s="430"/>
      <c r="J5282" s="309"/>
      <c r="K5282" s="320"/>
      <c r="L5282" s="388"/>
      <c r="M5282" s="2672" t="s">
        <v>6366</v>
      </c>
      <c r="N5282" s="2674" t="s">
        <v>6365</v>
      </c>
      <c r="O5282" s="437"/>
      <c r="P5282" s="438"/>
      <c r="Q5282" s="442"/>
      <c r="R5282" s="443"/>
      <c r="S5282" s="364"/>
      <c r="Z5282" s="609" t="s">
        <v>2158</v>
      </c>
      <c r="AA5282" s="609" t="s">
        <v>19</v>
      </c>
    </row>
    <row r="5283" spans="1:27" ht="18">
      <c r="A5283" s="2714"/>
      <c r="B5283" s="371">
        <v>102</v>
      </c>
      <c r="C5283" s="371" t="s">
        <v>2791</v>
      </c>
      <c r="D5283" s="2716">
        <f t="shared" si="563"/>
        <v>0</v>
      </c>
      <c r="E5283" s="2721">
        <v>1</v>
      </c>
      <c r="F5283" s="293"/>
      <c r="G5283" s="319" t="s">
        <v>2792</v>
      </c>
      <c r="H5283" s="309"/>
      <c r="I5283" s="430"/>
      <c r="J5283" s="309"/>
      <c r="K5283" s="320"/>
      <c r="L5283" s="388"/>
      <c r="M5283" s="438"/>
      <c r="N5283" s="2674" t="s">
        <v>1935</v>
      </c>
      <c r="O5283" s="437"/>
      <c r="P5283" s="438"/>
      <c r="Q5283" s="442"/>
      <c r="R5283" s="443"/>
      <c r="S5283" s="364"/>
      <c r="Z5283" s="609" t="s">
        <v>2158</v>
      </c>
      <c r="AA5283" s="609" t="s">
        <v>19</v>
      </c>
    </row>
    <row r="5284" spans="1:27" ht="18">
      <c r="A5284" s="2714"/>
      <c r="B5284" s="371">
        <v>103</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104</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105</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106</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4"/>
      <c r="B5288" s="371">
        <v>107</v>
      </c>
      <c r="C5288" s="371" t="s">
        <v>2791</v>
      </c>
      <c r="D5288" s="2716">
        <f t="shared" si="563"/>
        <v>0</v>
      </c>
      <c r="E5288" s="2721">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
      <c r="A5289" s="2714"/>
      <c r="B5289" s="371">
        <v>108</v>
      </c>
      <c r="C5289" s="371" t="s">
        <v>2791</v>
      </c>
      <c r="D5289" s="2716">
        <f t="shared" si="563"/>
        <v>0</v>
      </c>
      <c r="E5289" s="2721">
        <v>1</v>
      </c>
      <c r="F5289" s="293"/>
      <c r="G5289" s="319" t="s">
        <v>2792</v>
      </c>
      <c r="H5289" s="309"/>
      <c r="I5289" s="430"/>
      <c r="J5289" s="309"/>
      <c r="K5289" s="320"/>
      <c r="L5289" s="388"/>
      <c r="M5289" s="438"/>
      <c r="N5289" s="439"/>
      <c r="O5289" s="437"/>
      <c r="P5289" s="438"/>
      <c r="Q5289" s="442"/>
      <c r="R5289" s="443"/>
      <c r="S5289" s="364"/>
      <c r="Z5289" s="609" t="s">
        <v>2158</v>
      </c>
      <c r="AA5289" s="609" t="s">
        <v>19</v>
      </c>
    </row>
    <row r="5290" spans="1:27" ht="18.75" thickBot="1">
      <c r="A5290" s="2714"/>
      <c r="B5290" s="371"/>
      <c r="C5290" s="371"/>
      <c r="D5290" s="2716">
        <f t="shared" si="563"/>
        <v>1</v>
      </c>
      <c r="E5290" s="2721" t="s">
        <v>2751</v>
      </c>
      <c r="F5290" s="293"/>
      <c r="G5290" s="374" t="s">
        <v>5493</v>
      </c>
      <c r="H5290" s="375">
        <f>SUMPRODUCT($E5281:$E5289,H5281:H5289)</f>
        <v>0</v>
      </c>
      <c r="I5290" s="551">
        <f>SUMPRODUCT($E5281:$E5289,I5281:I5289)</f>
        <v>0</v>
      </c>
      <c r="J5290" s="375">
        <f>SUMPRODUCT($E5281:$E5289,J5281:J5289)</f>
        <v>0</v>
      </c>
      <c r="K5290" s="375">
        <f>SUMPRODUCT($E5281:$E5289,K5281:K5289)</f>
        <v>0</v>
      </c>
      <c r="L5290" s="550"/>
      <c r="M5290" s="440"/>
      <c r="N5290" s="439"/>
      <c r="O5290" s="437"/>
      <c r="P5290" s="440"/>
      <c r="Q5290" s="442"/>
      <c r="R5290" s="443"/>
      <c r="S5290" s="364"/>
      <c r="Z5290" s="609" t="s">
        <v>2158</v>
      </c>
      <c r="AA5290" s="609" t="s">
        <v>19</v>
      </c>
    </row>
    <row r="5291" spans="1:27" ht="18">
      <c r="A5291" s="2714"/>
      <c r="B5291" s="371"/>
      <c r="C5291" s="371" t="s">
        <v>2755</v>
      </c>
      <c r="D5291" s="2716"/>
      <c r="F5291" s="293"/>
      <c r="G5291" s="376"/>
      <c r="H5291" s="315"/>
      <c r="I5291" s="432"/>
      <c r="J5291" s="315"/>
      <c r="K5291" s="423"/>
      <c r="L5291" s="393"/>
      <c r="M5291" s="425"/>
      <c r="N5291" s="426"/>
      <c r="O5291" s="427"/>
      <c r="P5291" s="425"/>
      <c r="Q5291" s="442"/>
      <c r="R5291" s="443"/>
      <c r="S5291" s="364"/>
      <c r="Z5291" s="609" t="s">
        <v>2158</v>
      </c>
      <c r="AA5291" s="609" t="s">
        <v>19</v>
      </c>
    </row>
    <row r="5292" spans="1:27" ht="18">
      <c r="A5292" s="2714" t="s">
        <v>2176</v>
      </c>
      <c r="B5292" s="371">
        <v>2</v>
      </c>
      <c r="C5292" s="371"/>
      <c r="D5292" s="2716" t="str">
        <f>VLOOKUP($A5292,Sheet_NoteList,2,0)</f>
        <v>与收益相关的政府补助</v>
      </c>
      <c r="E5292" s="2716" t="s">
        <v>2742</v>
      </c>
      <c r="F5292" s="293"/>
      <c r="G5292" s="372" t="str">
        <f>"("&amp;B5292&amp;")"&amp;D5292</f>
        <v>(2)与收益相关的政府补助</v>
      </c>
      <c r="H5292" s="1517" t="str">
        <f>$A5292</f>
        <v>9371i</v>
      </c>
      <c r="I5292" s="343" t="s">
        <v>2743</v>
      </c>
      <c r="J5292" s="301" t="s">
        <v>2744</v>
      </c>
      <c r="K5292" s="2210">
        <f>J5305</f>
        <v>0</v>
      </c>
      <c r="L5292" s="349"/>
      <c r="M5292" s="301" t="s">
        <v>2745</v>
      </c>
      <c r="N5292" s="2210">
        <f>K5305</f>
        <v>0</v>
      </c>
      <c r="O5292" s="349"/>
      <c r="P5292" s="301"/>
      <c r="S5292" s="364"/>
      <c r="Z5292" s="609" t="s">
        <v>2158</v>
      </c>
      <c r="AA5292" s="609" t="s">
        <v>19</v>
      </c>
    </row>
    <row r="5293" spans="1:27" ht="0.75" customHeight="1">
      <c r="A5293" s="2714"/>
      <c r="B5293" s="371"/>
      <c r="C5293" s="371"/>
      <c r="D5293" s="2716"/>
      <c r="F5293" s="371"/>
      <c r="G5293" s="405" t="s">
        <v>4658</v>
      </c>
      <c r="H5293" s="371" t="s">
        <v>2747</v>
      </c>
      <c r="I5293" s="371" t="s">
        <v>2821</v>
      </c>
      <c r="J5293" s="371" t="s">
        <v>2948</v>
      </c>
      <c r="K5293" s="547" t="s">
        <v>3034</v>
      </c>
      <c r="L5293" s="547" t="s">
        <v>4649</v>
      </c>
      <c r="M5293" s="433"/>
      <c r="N5293" s="428"/>
      <c r="O5293" s="428"/>
      <c r="P5293" s="433"/>
      <c r="Q5293" s="442"/>
      <c r="R5293" s="443"/>
      <c r="S5293" s="364"/>
      <c r="Z5293" s="609" t="s">
        <v>2158</v>
      </c>
      <c r="AA5293" s="609" t="s">
        <v>19</v>
      </c>
    </row>
    <row r="5294" spans="1:27" ht="0.75" customHeight="1" thickBot="1">
      <c r="A5294" s="2714"/>
      <c r="B5294" s="371"/>
      <c r="C5294" s="371"/>
      <c r="D5294" s="2716"/>
      <c r="F5294" s="371"/>
      <c r="G5294" s="405"/>
      <c r="H5294" s="371" t="s">
        <v>4650</v>
      </c>
      <c r="I5294" s="371" t="s">
        <v>4651</v>
      </c>
      <c r="J5294" s="371" t="s">
        <v>4652</v>
      </c>
      <c r="K5294" s="547" t="s">
        <v>4653</v>
      </c>
      <c r="L5294" s="547" t="s">
        <v>4654</v>
      </c>
      <c r="M5294" s="433"/>
      <c r="N5294" s="428"/>
      <c r="O5294" s="428"/>
      <c r="P5294" s="433"/>
      <c r="Q5294" s="442"/>
      <c r="R5294" s="443"/>
      <c r="S5294" s="364"/>
      <c r="Z5294" s="609" t="s">
        <v>2158</v>
      </c>
      <c r="AA5294" s="609" t="s">
        <v>19</v>
      </c>
    </row>
    <row r="5295" spans="1:27" ht="25.5" customHeight="1">
      <c r="A5295" s="2714"/>
      <c r="B5295" s="371"/>
      <c r="C5295" s="371"/>
      <c r="D5295" s="2716"/>
      <c r="E5295" s="2716" t="s">
        <v>2749</v>
      </c>
      <c r="F5295" s="293"/>
      <c r="G5295" s="3224" t="s">
        <v>5494</v>
      </c>
      <c r="H5295" s="3202" t="s">
        <v>2887</v>
      </c>
      <c r="I5295" s="3202" t="s">
        <v>4655</v>
      </c>
      <c r="J5295" s="3202" t="s">
        <v>4656</v>
      </c>
      <c r="K5295" s="3202"/>
      <c r="L5295" s="3257" t="s">
        <v>4657</v>
      </c>
      <c r="M5295" s="355" t="s">
        <v>5347</v>
      </c>
      <c r="N5295" s="428"/>
      <c r="O5295" s="428"/>
      <c r="P5295" s="433"/>
      <c r="Q5295" s="442"/>
      <c r="R5295" s="443"/>
      <c r="S5295" s="364"/>
      <c r="Z5295" s="609" t="s">
        <v>2158</v>
      </c>
      <c r="AA5295" s="609" t="s">
        <v>19</v>
      </c>
    </row>
    <row r="5296" spans="1:27" ht="26.25" customHeight="1">
      <c r="A5296" s="2714"/>
      <c r="B5296" s="371"/>
      <c r="C5296" s="371"/>
      <c r="D5296" s="2716"/>
      <c r="E5296" s="2716" t="s">
        <v>2749</v>
      </c>
      <c r="F5296" s="293"/>
      <c r="G5296" s="3225"/>
      <c r="H5296" s="3203"/>
      <c r="I5296" s="3203"/>
      <c r="J5296" s="408" t="str">
        <f>$V$4</f>
        <v>2019年度</v>
      </c>
      <c r="K5296" s="2239" t="str">
        <f>$V$5</f>
        <v>2018年度</v>
      </c>
      <c r="L5296" s="3258"/>
      <c r="M5296" s="435"/>
      <c r="N5296" s="434"/>
      <c r="O5296" s="434"/>
      <c r="P5296" s="435"/>
      <c r="Q5296" s="442"/>
      <c r="R5296" s="443"/>
      <c r="S5296" s="364"/>
      <c r="Z5296" s="609" t="s">
        <v>2158</v>
      </c>
      <c r="AA5296" s="609" t="s">
        <v>19</v>
      </c>
    </row>
    <row r="5297" spans="1:27" ht="18">
      <c r="A5297" s="2714"/>
      <c r="B5297" s="371">
        <v>101</v>
      </c>
      <c r="C5297" s="371" t="s">
        <v>2791</v>
      </c>
      <c r="D5297" s="2716">
        <f t="shared" ref="D5297:D5305" si="564">IF(OR(G5297="*",G5297="",G5297=0),0,COUNTIF($G$5297:$G$5305,G5297))</f>
        <v>0</v>
      </c>
      <c r="E5297" s="2721">
        <v>1</v>
      </c>
      <c r="F5297" s="293"/>
      <c r="G5297" s="319" t="s">
        <v>2792</v>
      </c>
      <c r="H5297" s="309"/>
      <c r="I5297" s="430"/>
      <c r="J5297" s="309"/>
      <c r="K5297" s="320"/>
      <c r="L5297" s="388"/>
      <c r="M5297" s="2672" t="s">
        <v>6366</v>
      </c>
      <c r="N5297" s="2674" t="s">
        <v>6365</v>
      </c>
      <c r="O5297" s="437"/>
      <c r="P5297" s="438"/>
      <c r="Q5297" s="442"/>
      <c r="R5297" s="443"/>
      <c r="S5297" s="364"/>
      <c r="Z5297" s="609" t="s">
        <v>2158</v>
      </c>
      <c r="AA5297" s="609" t="s">
        <v>19</v>
      </c>
    </row>
    <row r="5298" spans="1:27" ht="18">
      <c r="A5298" s="2714"/>
      <c r="B5298" s="371">
        <v>102</v>
      </c>
      <c r="C5298" s="371" t="s">
        <v>2791</v>
      </c>
      <c r="D5298" s="2716">
        <f t="shared" si="564"/>
        <v>0</v>
      </c>
      <c r="E5298" s="2721">
        <v>1</v>
      </c>
      <c r="F5298" s="293"/>
      <c r="G5298" s="319" t="s">
        <v>2792</v>
      </c>
      <c r="H5298" s="309"/>
      <c r="I5298" s="430"/>
      <c r="J5298" s="309"/>
      <c r="K5298" s="320"/>
      <c r="L5298" s="388"/>
      <c r="M5298" s="438"/>
      <c r="N5298" s="2674" t="s">
        <v>1935</v>
      </c>
      <c r="O5298" s="437"/>
      <c r="P5298" s="438"/>
      <c r="Q5298" s="442"/>
      <c r="R5298" s="443"/>
      <c r="S5298" s="364"/>
      <c r="Z5298" s="609" t="s">
        <v>2158</v>
      </c>
      <c r="AA5298" s="609" t="s">
        <v>19</v>
      </c>
    </row>
    <row r="5299" spans="1:27" ht="18">
      <c r="A5299" s="2714"/>
      <c r="B5299" s="371">
        <v>103</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104</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105</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106</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4"/>
      <c r="B5303" s="371">
        <v>107</v>
      </c>
      <c r="C5303" s="371" t="s">
        <v>2791</v>
      </c>
      <c r="D5303" s="2716">
        <f t="shared" si="564"/>
        <v>0</v>
      </c>
      <c r="E5303" s="2721">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
      <c r="A5304" s="2714"/>
      <c r="B5304" s="371">
        <v>108</v>
      </c>
      <c r="C5304" s="371" t="s">
        <v>2791</v>
      </c>
      <c r="D5304" s="2716">
        <f t="shared" si="564"/>
        <v>0</v>
      </c>
      <c r="E5304" s="2721">
        <v>1</v>
      </c>
      <c r="F5304" s="293"/>
      <c r="G5304" s="319" t="s">
        <v>2792</v>
      </c>
      <c r="H5304" s="309"/>
      <c r="I5304" s="430"/>
      <c r="J5304" s="309"/>
      <c r="K5304" s="320"/>
      <c r="L5304" s="388"/>
      <c r="M5304" s="438"/>
      <c r="N5304" s="439"/>
      <c r="O5304" s="437"/>
      <c r="P5304" s="438"/>
      <c r="Q5304" s="442"/>
      <c r="R5304" s="443"/>
      <c r="S5304" s="364"/>
      <c r="Z5304" s="609" t="s">
        <v>2158</v>
      </c>
      <c r="AA5304" s="609" t="s">
        <v>19</v>
      </c>
    </row>
    <row r="5305" spans="1:27" ht="18.75" thickBot="1">
      <c r="A5305" s="2714"/>
      <c r="B5305" s="371"/>
      <c r="C5305" s="371"/>
      <c r="D5305" s="2716">
        <f t="shared" si="564"/>
        <v>1</v>
      </c>
      <c r="E5305" s="2721" t="s">
        <v>2751</v>
      </c>
      <c r="F5305" s="293"/>
      <c r="G5305" s="374" t="s">
        <v>2752</v>
      </c>
      <c r="H5305" s="375">
        <f>SUMPRODUCT($E5296:$E5304,H5296:H5304)</f>
        <v>0</v>
      </c>
      <c r="I5305" s="551">
        <f>SUMPRODUCT($E5296:$E5304,I5296:I5304)</f>
        <v>0</v>
      </c>
      <c r="J5305" s="375">
        <f>SUMPRODUCT($E5296:$E5304,J5296:J5304)</f>
        <v>0</v>
      </c>
      <c r="K5305" s="2325">
        <f>SUMPRODUCT($E5296:$E5304,K5296:K5304)</f>
        <v>0</v>
      </c>
      <c r="L5305" s="550"/>
      <c r="M5305" s="440"/>
      <c r="N5305" s="439"/>
      <c r="O5305" s="437"/>
      <c r="P5305" s="440"/>
      <c r="Q5305" s="442"/>
      <c r="R5305" s="443"/>
      <c r="S5305" s="364"/>
      <c r="Z5305" s="609" t="s">
        <v>2158</v>
      </c>
      <c r="AA5305" s="609" t="s">
        <v>19</v>
      </c>
    </row>
    <row r="5306" spans="1:27" ht="18">
      <c r="A5306" s="2714"/>
      <c r="B5306" s="371"/>
      <c r="C5306" s="371" t="s">
        <v>2755</v>
      </c>
      <c r="D5306" s="2716"/>
      <c r="F5306" s="293"/>
      <c r="G5306" s="376"/>
      <c r="H5306" s="315"/>
      <c r="I5306" s="432"/>
      <c r="J5306" s="315"/>
      <c r="K5306" s="423"/>
      <c r="L5306" s="393"/>
      <c r="M5306" s="425"/>
      <c r="N5306" s="426"/>
      <c r="O5306" s="427"/>
      <c r="P5306" s="425"/>
      <c r="Q5306" s="442"/>
      <c r="R5306" s="443"/>
      <c r="S5306" s="364"/>
      <c r="Z5306" s="609" t="s">
        <v>2158</v>
      </c>
      <c r="AA5306" s="609" t="s">
        <v>19</v>
      </c>
    </row>
    <row r="5307" spans="1:27" ht="18">
      <c r="A5307" s="2714" t="s">
        <v>2178</v>
      </c>
      <c r="B5307" s="371">
        <v>3</v>
      </c>
      <c r="C5307" s="371"/>
      <c r="D5307" s="2716" t="str">
        <f>VLOOKUP($A5307,Sheet_NoteList,2,0)</f>
        <v>政府补助退回情况</v>
      </c>
      <c r="E5307" s="2716" t="s">
        <v>2742</v>
      </c>
      <c r="F5307" s="293"/>
      <c r="G5307" s="372" t="str">
        <f>"("&amp;B5307&amp;")"&amp;D5307</f>
        <v>(3)政府补助退回情况</v>
      </c>
      <c r="H5307" s="1517" t="str">
        <f>$A5307</f>
        <v>9371j</v>
      </c>
      <c r="I5307" s="343" t="s">
        <v>2743</v>
      </c>
      <c r="J5307" s="301" t="s">
        <v>2744</v>
      </c>
      <c r="K5307" s="2210">
        <f>H5318</f>
        <v>0</v>
      </c>
      <c r="L5307" s="349"/>
      <c r="M5307" s="301" t="s">
        <v>2745</v>
      </c>
      <c r="N5307" s="2210">
        <f>I5318</f>
        <v>0</v>
      </c>
      <c r="O5307" s="349"/>
      <c r="P5307" s="301"/>
      <c r="S5307" s="364"/>
      <c r="Z5307" s="609" t="s">
        <v>2158</v>
      </c>
      <c r="AA5307" s="609" t="s">
        <v>19</v>
      </c>
    </row>
    <row r="5308" spans="1:27" ht="0.75" customHeight="1" thickBot="1">
      <c r="A5308" s="2714"/>
      <c r="B5308" s="371"/>
      <c r="C5308" s="371"/>
      <c r="D5308" s="2716"/>
      <c r="F5308" s="371"/>
      <c r="G5308" s="405" t="s">
        <v>4659</v>
      </c>
      <c r="H5308" s="371" t="s">
        <v>2747</v>
      </c>
      <c r="I5308" s="371" t="s">
        <v>2821</v>
      </c>
      <c r="J5308" s="433"/>
      <c r="K5308" s="428"/>
      <c r="L5308" s="428"/>
      <c r="M5308" s="433"/>
      <c r="N5308" s="428"/>
      <c r="O5308" s="428"/>
      <c r="P5308" s="433"/>
      <c r="Q5308" s="442"/>
      <c r="R5308" s="443"/>
      <c r="S5308" s="364"/>
      <c r="Z5308" s="609" t="s">
        <v>2158</v>
      </c>
      <c r="AA5308" s="609" t="s">
        <v>19</v>
      </c>
    </row>
    <row r="5309" spans="1:27" ht="18">
      <c r="A5309" s="2714"/>
      <c r="B5309" s="371"/>
      <c r="C5309" s="371"/>
      <c r="D5309" s="2716"/>
      <c r="E5309" s="2716" t="s">
        <v>2749</v>
      </c>
      <c r="F5309" s="293"/>
      <c r="G5309" s="373" t="s">
        <v>47</v>
      </c>
      <c r="H5309" s="406" t="s">
        <v>2887</v>
      </c>
      <c r="I5309" s="417" t="s">
        <v>4660</v>
      </c>
      <c r="J5309" s="355" t="s">
        <v>5347</v>
      </c>
      <c r="K5309" s="434"/>
      <c r="L5309" s="434"/>
      <c r="M5309" s="435"/>
      <c r="N5309" s="434"/>
      <c r="O5309" s="434"/>
      <c r="P5309" s="435"/>
      <c r="Q5309" s="442"/>
      <c r="R5309" s="443"/>
      <c r="S5309" s="364"/>
      <c r="Z5309" s="609" t="s">
        <v>2158</v>
      </c>
      <c r="AA5309" s="609" t="s">
        <v>19</v>
      </c>
    </row>
    <row r="5310" spans="1:27" ht="18">
      <c r="A5310" s="2714"/>
      <c r="B5310" s="371">
        <v>101</v>
      </c>
      <c r="C5310" s="371" t="s">
        <v>2791</v>
      </c>
      <c r="D5310" s="2716">
        <f t="shared" ref="D5310:D5318" si="565">IF(OR(G5310="*",G5310="",G5310=0),0,COUNTIF($G$5310:$G$5318,G5310))</f>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102</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103</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104</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105</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106</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4"/>
      <c r="B5316" s="371">
        <v>107</v>
      </c>
      <c r="C5316" s="371" t="s">
        <v>2791</v>
      </c>
      <c r="D5316" s="2716">
        <f t="shared" si="565"/>
        <v>0</v>
      </c>
      <c r="E5316" s="2721">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
      <c r="A5317" s="2714"/>
      <c r="B5317" s="371">
        <v>108</v>
      </c>
      <c r="C5317" s="371" t="s">
        <v>2791</v>
      </c>
      <c r="D5317" s="2716">
        <f t="shared" si="565"/>
        <v>0</v>
      </c>
      <c r="E5317" s="2721">
        <v>1</v>
      </c>
      <c r="F5317" s="293"/>
      <c r="G5317" s="319" t="s">
        <v>2792</v>
      </c>
      <c r="H5317" s="309"/>
      <c r="I5317" s="444"/>
      <c r="J5317" s="438"/>
      <c r="K5317" s="439"/>
      <c r="L5317" s="437"/>
      <c r="M5317" s="438"/>
      <c r="N5317" s="439"/>
      <c r="O5317" s="437"/>
      <c r="P5317" s="438"/>
      <c r="Q5317" s="442"/>
      <c r="R5317" s="443"/>
      <c r="S5317" s="364"/>
      <c r="Z5317" s="609" t="s">
        <v>2158</v>
      </c>
      <c r="AA5317" s="609" t="s">
        <v>19</v>
      </c>
    </row>
    <row r="5318" spans="1:27" ht="18.75" thickBot="1">
      <c r="A5318" s="2714"/>
      <c r="B5318" s="371"/>
      <c r="C5318" s="371"/>
      <c r="D5318" s="2716">
        <f t="shared" si="565"/>
        <v>1</v>
      </c>
      <c r="E5318" s="2721" t="s">
        <v>2751</v>
      </c>
      <c r="F5318" s="293"/>
      <c r="G5318" s="374" t="s">
        <v>2752</v>
      </c>
      <c r="H5318" s="375">
        <f>SUMPRODUCT($E5309:$E5317,H5309:H5317)</f>
        <v>0</v>
      </c>
      <c r="I5318" s="552">
        <f>SUMPRODUCT($E5309:$E5317,I5309:I5317)</f>
        <v>0</v>
      </c>
      <c r="J5318" s="440"/>
      <c r="K5318" s="439"/>
      <c r="L5318" s="437"/>
      <c r="M5318" s="440"/>
      <c r="N5318" s="439"/>
      <c r="O5318" s="437"/>
      <c r="P5318" s="440"/>
      <c r="Q5318" s="442"/>
      <c r="R5318" s="443"/>
      <c r="S5318" s="364"/>
      <c r="Z5318" s="609" t="s">
        <v>2158</v>
      </c>
      <c r="AA5318" s="609" t="s">
        <v>19</v>
      </c>
    </row>
    <row r="5319" spans="1:27" ht="18">
      <c r="A5319" s="2714"/>
      <c r="B5319" s="371"/>
      <c r="C5319" s="371" t="s">
        <v>2755</v>
      </c>
      <c r="D5319" s="2716"/>
      <c r="F5319" s="293"/>
      <c r="G5319" s="376"/>
      <c r="H5319" s="315"/>
      <c r="I5319" s="432"/>
      <c r="J5319" s="425"/>
      <c r="K5319" s="426"/>
      <c r="L5319" s="427"/>
      <c r="M5319" s="425"/>
      <c r="N5319" s="426"/>
      <c r="O5319" s="427"/>
      <c r="P5319" s="425"/>
      <c r="Q5319" s="442"/>
      <c r="R5319" s="443"/>
      <c r="S5319" s="364"/>
      <c r="Z5319" s="609" t="s">
        <v>2158</v>
      </c>
      <c r="AA5319" s="609" t="s">
        <v>19</v>
      </c>
    </row>
    <row r="5320" spans="1:27" ht="18">
      <c r="A5320" s="2714">
        <v>9325</v>
      </c>
      <c r="B5320" s="371" t="s">
        <v>6569</v>
      </c>
      <c r="C5320" s="2716" t="str">
        <f>VLOOKUP($A5320,Sheet_Items,2,0)</f>
        <v>与金融工具相关的风险</v>
      </c>
      <c r="D5320" s="371"/>
      <c r="E5320" s="2716" t="s">
        <v>2739</v>
      </c>
      <c r="F5320" s="294"/>
      <c r="G5320" s="305" t="str">
        <f>B5320&amp;" "&amp;C5320</f>
        <v>八 与金融工具相关的风险</v>
      </c>
      <c r="H5320" s="306"/>
      <c r="I5320" s="306"/>
      <c r="J5320" s="306"/>
      <c r="K5320" s="539"/>
      <c r="L5320" s="342"/>
      <c r="M5320" s="306"/>
      <c r="N5320" s="539"/>
      <c r="O5320" s="306"/>
      <c r="P5320" s="301"/>
      <c r="S5320" s="364"/>
      <c r="Z5320" s="609" t="s">
        <v>2105</v>
      </c>
      <c r="AA5320" s="609"/>
    </row>
    <row r="5321" spans="1:27" ht="24">
      <c r="A5321" s="2714" t="s">
        <v>2111</v>
      </c>
      <c r="B5321" s="371">
        <v>1</v>
      </c>
      <c r="C5321" s="371"/>
      <c r="D5321" s="2716" t="str">
        <f>VLOOKUP($A5321,Sheet_NoteList,2,0)</f>
        <v>本期末金融负债到期期限</v>
      </c>
      <c r="E5321" s="2716" t="s">
        <v>2742</v>
      </c>
      <c r="F5321" s="293"/>
      <c r="G5321" s="372" t="str">
        <f>"("&amp;B5321&amp;")"&amp;D5321</f>
        <v>(1)本期末金融负债到期期限</v>
      </c>
      <c r="H5321" s="1517" t="str">
        <f>$A5321</f>
        <v>9325g</v>
      </c>
      <c r="I5321" s="343" t="s">
        <v>2743</v>
      </c>
      <c r="J5321" s="301" t="s">
        <v>2744</v>
      </c>
      <c r="K5321" s="2210">
        <f>H5336</f>
        <v>0</v>
      </c>
      <c r="L5321" s="349"/>
      <c r="M5321" s="301" t="s">
        <v>2745</v>
      </c>
      <c r="N5321" s="2210">
        <f>I5336</f>
        <v>0</v>
      </c>
      <c r="O5321" s="349"/>
      <c r="P5321" s="301"/>
      <c r="S5321" s="364"/>
      <c r="Z5321" s="609" t="s">
        <v>2105</v>
      </c>
      <c r="AA5321" s="609" t="s">
        <v>19</v>
      </c>
    </row>
    <row r="5322" spans="1:27" ht="0.75" customHeight="1">
      <c r="A5322" s="2714"/>
      <c r="B5322" s="371"/>
      <c r="C5322" s="371"/>
      <c r="D5322" s="2716"/>
      <c r="F5322" s="371"/>
      <c r="G5322" s="405" t="s">
        <v>4485</v>
      </c>
      <c r="H5322" s="371" t="s">
        <v>2747</v>
      </c>
      <c r="I5322" s="371" t="s">
        <v>2748</v>
      </c>
      <c r="J5322" s="371" t="s">
        <v>2948</v>
      </c>
      <c r="K5322" s="547" t="s">
        <v>3034</v>
      </c>
      <c r="L5322" s="547" t="s">
        <v>3035</v>
      </c>
      <c r="M5322" s="433"/>
      <c r="N5322" s="428"/>
      <c r="O5322" s="428"/>
      <c r="P5322" s="433"/>
      <c r="Q5322" s="442"/>
      <c r="R5322" s="443"/>
      <c r="S5322" s="364"/>
      <c r="Z5322" s="609" t="s">
        <v>2105</v>
      </c>
      <c r="AA5322" s="609" t="s">
        <v>19</v>
      </c>
    </row>
    <row r="5323" spans="1:27" ht="0.75" customHeight="1" thickBot="1">
      <c r="A5323" s="2714"/>
      <c r="B5323" s="371"/>
      <c r="C5323" s="371"/>
      <c r="D5323" s="2716"/>
      <c r="F5323" s="371"/>
      <c r="G5323" s="405"/>
      <c r="H5323" s="371" t="s">
        <v>4486</v>
      </c>
      <c r="I5323" s="371" t="s">
        <v>4487</v>
      </c>
      <c r="J5323" s="371" t="s">
        <v>4488</v>
      </c>
      <c r="K5323" s="547" t="s">
        <v>4489</v>
      </c>
      <c r="L5323" s="547" t="s">
        <v>4490</v>
      </c>
      <c r="M5323" s="433"/>
      <c r="N5323" s="428"/>
      <c r="O5323" s="428"/>
      <c r="P5323" s="433"/>
      <c r="Q5323" s="442"/>
      <c r="R5323" s="443"/>
      <c r="S5323" s="364"/>
      <c r="Z5323" s="609" t="s">
        <v>2105</v>
      </c>
      <c r="AA5323" s="609" t="s">
        <v>19</v>
      </c>
    </row>
    <row r="5324" spans="1:27" ht="18" customHeight="1" thickTop="1">
      <c r="A5324" s="2714"/>
      <c r="B5324" s="371"/>
      <c r="C5324" s="371"/>
      <c r="D5324" s="2716"/>
      <c r="E5324" s="2716" t="s">
        <v>2749</v>
      </c>
      <c r="F5324" s="293"/>
      <c r="G5324" s="3161" t="s">
        <v>47</v>
      </c>
      <c r="H5324" s="3142" t="str">
        <f>$V$2</f>
        <v>2019年12月31日</v>
      </c>
      <c r="I5324" s="3201"/>
      <c r="J5324" s="3201"/>
      <c r="K5324" s="3201"/>
      <c r="L5324" s="3201"/>
      <c r="M5324" s="355" t="s">
        <v>5348</v>
      </c>
      <c r="N5324" s="1536" t="s">
        <v>5541</v>
      </c>
      <c r="O5324" s="1536" t="s">
        <v>5542</v>
      </c>
      <c r="P5324" s="433"/>
      <c r="Q5324" s="442"/>
      <c r="R5324" s="443"/>
      <c r="S5324" s="364"/>
      <c r="Z5324" s="609" t="s">
        <v>2105</v>
      </c>
      <c r="AA5324" s="609" t="s">
        <v>19</v>
      </c>
    </row>
    <row r="5325" spans="1:27" ht="18">
      <c r="A5325" s="2714"/>
      <c r="B5325" s="371"/>
      <c r="C5325" s="371"/>
      <c r="D5325" s="2716"/>
      <c r="E5325" s="2716" t="s">
        <v>2749</v>
      </c>
      <c r="F5325" s="293"/>
      <c r="G5325" s="3162"/>
      <c r="H5325" s="2490" t="s">
        <v>4491</v>
      </c>
      <c r="I5325" s="2490" t="s">
        <v>4492</v>
      </c>
      <c r="J5325" s="2490" t="s">
        <v>2962</v>
      </c>
      <c r="K5325" s="2491" t="s">
        <v>2963</v>
      </c>
      <c r="L5325" s="2492" t="s">
        <v>3108</v>
      </c>
      <c r="M5325" s="435"/>
      <c r="N5325" s="1611"/>
      <c r="O5325" s="1611"/>
      <c r="P5325" s="435"/>
      <c r="Q5325" s="442"/>
      <c r="R5325" s="443"/>
      <c r="S5325" s="364"/>
      <c r="Z5325" s="609" t="s">
        <v>2105</v>
      </c>
      <c r="AA5325" s="609" t="s">
        <v>19</v>
      </c>
    </row>
    <row r="5326" spans="1:27" ht="18">
      <c r="A5326" s="2714"/>
      <c r="B5326" s="371">
        <v>101</v>
      </c>
      <c r="C5326" s="371"/>
      <c r="D5326" s="2716">
        <f t="shared" ref="D5326:D5336" si="566">IF(OR(G5326="*",G5326="",G5326=0),0,COUNTIF($G$5326:$G$5336,G5326))</f>
        <v>1</v>
      </c>
      <c r="E5326" s="2721">
        <v>1</v>
      </c>
      <c r="F5326" s="293"/>
      <c r="G5326" s="308" t="s">
        <v>454</v>
      </c>
      <c r="H5326" s="309"/>
      <c r="I5326" s="422"/>
      <c r="J5326" s="309"/>
      <c r="K5326" s="320"/>
      <c r="L5326" s="346"/>
      <c r="M5326" s="438"/>
      <c r="N5326" s="1588">
        <f ca="1">HYPERLINK("#'"&amp;$G$1&amp;"'!"&amp;ADDRESS(ROW(Notes!H3327),COLUMN(Notes!H3327),4),H3327)</f>
        <v>0</v>
      </c>
      <c r="O5326" s="1544">
        <f ca="1">N5326-SUM(H5326:L5326)</f>
        <v>0</v>
      </c>
      <c r="P5326" s="438"/>
      <c r="Q5326" s="442"/>
      <c r="R5326" s="443"/>
      <c r="S5326" s="364"/>
      <c r="Z5326" s="609" t="s">
        <v>2105</v>
      </c>
      <c r="AA5326" s="609" t="s">
        <v>19</v>
      </c>
    </row>
    <row r="5327" spans="1:27" ht="18">
      <c r="A5327" s="2714"/>
      <c r="B5327" s="371">
        <v>102</v>
      </c>
      <c r="C5327" s="371"/>
      <c r="D5327" s="2716">
        <f t="shared" si="566"/>
        <v>1</v>
      </c>
      <c r="E5327" s="2721">
        <v>1</v>
      </c>
      <c r="F5327" s="293"/>
      <c r="G5327" s="308" t="s">
        <v>462</v>
      </c>
      <c r="H5327" s="309"/>
      <c r="I5327" s="422"/>
      <c r="J5327" s="309"/>
      <c r="K5327" s="320"/>
      <c r="L5327" s="346"/>
      <c r="M5327" s="438"/>
      <c r="N5327" s="1588">
        <f ca="1">HYPERLINK("#'"&amp;$G$1&amp;"'!"&amp;ADDRESS(ROW(Notes!K3392),COLUMN(Notes!K3392),4),K3392)</f>
        <v>0</v>
      </c>
      <c r="O5327" s="1544">
        <f t="shared" ref="O5327:O5334" ca="1" si="567">N5327-SUM(H5327:L5327)</f>
        <v>0</v>
      </c>
      <c r="P5327" s="438"/>
      <c r="Q5327" s="442"/>
      <c r="R5327" s="443"/>
      <c r="S5327" s="364"/>
      <c r="Z5327" s="609" t="s">
        <v>2105</v>
      </c>
      <c r="AA5327" s="609" t="s">
        <v>19</v>
      </c>
    </row>
    <row r="5328" spans="1:27" ht="18">
      <c r="A5328" s="2714"/>
      <c r="B5328" s="371">
        <v>103</v>
      </c>
      <c r="C5328" s="371"/>
      <c r="D5328" s="2716">
        <f t="shared" si="566"/>
        <v>1</v>
      </c>
      <c r="E5328" s="2721">
        <v>1</v>
      </c>
      <c r="F5328" s="293"/>
      <c r="G5328" s="308" t="s">
        <v>471</v>
      </c>
      <c r="H5328" s="309"/>
      <c r="I5328" s="422"/>
      <c r="J5328" s="309"/>
      <c r="K5328" s="320"/>
      <c r="L5328" s="346"/>
      <c r="M5328" s="438"/>
      <c r="N5328" s="1588">
        <f ca="1">HYPERLINK("#'"&amp;$G$1&amp;"'!"&amp;ADDRESS(ROW(Notes!H3439),COLUMN(Notes!H3439),4),H3439)</f>
        <v>0</v>
      </c>
      <c r="O5328" s="1544">
        <f t="shared" ca="1" si="567"/>
        <v>0</v>
      </c>
      <c r="P5328" s="438"/>
      <c r="Q5328" s="442"/>
      <c r="R5328" s="443"/>
      <c r="S5328" s="364"/>
      <c r="Z5328" s="609" t="s">
        <v>2105</v>
      </c>
      <c r="AA5328" s="609" t="s">
        <v>19</v>
      </c>
    </row>
    <row r="5329" spans="1:27" ht="18">
      <c r="A5329" s="2714"/>
      <c r="B5329" s="371">
        <v>104</v>
      </c>
      <c r="C5329" s="371"/>
      <c r="D5329" s="2716">
        <f t="shared" si="566"/>
        <v>1</v>
      </c>
      <c r="E5329" s="2721">
        <v>1</v>
      </c>
      <c r="F5329" s="293"/>
      <c r="G5329" s="308" t="s">
        <v>476</v>
      </c>
      <c r="H5329" s="309"/>
      <c r="I5329" s="422"/>
      <c r="J5329" s="309"/>
      <c r="K5329" s="320"/>
      <c r="L5329" s="346"/>
      <c r="M5329" s="438"/>
      <c r="N5329" s="1588">
        <f ca="1">HYPERLINK("#'"&amp;$G$1&amp;"'!"&amp;ADDRESS(ROW(Notes!H3452),COLUMN(Notes!H3452),4),H3452)</f>
        <v>0</v>
      </c>
      <c r="O5329" s="1544">
        <f t="shared" ca="1" si="567"/>
        <v>0</v>
      </c>
      <c r="P5329" s="438"/>
      <c r="Q5329" s="442"/>
      <c r="R5329" s="443"/>
      <c r="S5329" s="364"/>
      <c r="Z5329" s="609" t="s">
        <v>2105</v>
      </c>
      <c r="AA5329" s="609" t="s">
        <v>19</v>
      </c>
    </row>
    <row r="5330" spans="1:27" ht="18">
      <c r="A5330" s="2714"/>
      <c r="B5330" s="371">
        <v>105</v>
      </c>
      <c r="C5330" s="371"/>
      <c r="D5330" s="2716">
        <f t="shared" si="566"/>
        <v>1</v>
      </c>
      <c r="E5330" s="2721">
        <v>1</v>
      </c>
      <c r="F5330" s="293"/>
      <c r="G5330" s="308" t="s">
        <v>499</v>
      </c>
      <c r="H5330" s="309"/>
      <c r="I5330" s="422"/>
      <c r="J5330" s="309"/>
      <c r="K5330" s="320"/>
      <c r="L5330" s="346"/>
      <c r="M5330" s="438"/>
      <c r="N5330" s="1588">
        <f ca="1">HYPERLINK("#'"&amp;$G$1&amp;"'!"&amp;ADDRESS(ROW(Notes!H3788),COLUMN(Notes!H3788),4),H3788)</f>
        <v>0</v>
      </c>
      <c r="O5330" s="1544">
        <f t="shared" ca="1" si="567"/>
        <v>0</v>
      </c>
      <c r="P5330" s="438"/>
      <c r="Q5330" s="442"/>
      <c r="R5330" s="443"/>
      <c r="S5330" s="364"/>
      <c r="Z5330" s="609" t="s">
        <v>2105</v>
      </c>
      <c r="AA5330" s="609" t="s">
        <v>19</v>
      </c>
    </row>
    <row r="5331" spans="1:27" ht="18">
      <c r="A5331" s="2714"/>
      <c r="B5331" s="371">
        <v>106</v>
      </c>
      <c r="C5331" s="371"/>
      <c r="D5331" s="2716">
        <f t="shared" si="566"/>
        <v>1</v>
      </c>
      <c r="E5331" s="2721">
        <v>1</v>
      </c>
      <c r="F5331" s="293"/>
      <c r="G5331" s="308" t="s">
        <v>513</v>
      </c>
      <c r="H5331" s="309"/>
      <c r="I5331" s="422"/>
      <c r="J5331" s="309"/>
      <c r="K5331" s="320"/>
      <c r="L5331" s="346"/>
      <c r="M5331" s="438"/>
      <c r="N5331" s="1588">
        <f ca="1">HYPERLINK("#'"&amp;$G$1&amp;"'!"&amp;ADDRESS(ROW(Notes!H3837),COLUMN(Notes!H3837),4),H3837)</f>
        <v>0</v>
      </c>
      <c r="O5331" s="1544">
        <f t="shared" ca="1" si="567"/>
        <v>0</v>
      </c>
      <c r="P5331" s="438"/>
      <c r="Q5331" s="442"/>
      <c r="R5331" s="443"/>
      <c r="S5331" s="364"/>
      <c r="Z5331" s="609" t="s">
        <v>2105</v>
      </c>
      <c r="AA5331" s="609" t="s">
        <v>19</v>
      </c>
    </row>
    <row r="5332" spans="1:27" ht="18">
      <c r="A5332" s="2714"/>
      <c r="B5332" s="371">
        <v>107</v>
      </c>
      <c r="C5332" s="371"/>
      <c r="D5332" s="2716">
        <f t="shared" si="566"/>
        <v>1</v>
      </c>
      <c r="E5332" s="2721">
        <v>1</v>
      </c>
      <c r="F5332" s="293"/>
      <c r="G5332" s="308" t="s">
        <v>546</v>
      </c>
      <c r="H5332" s="309"/>
      <c r="I5332" s="422"/>
      <c r="J5332" s="309"/>
      <c r="K5332" s="320"/>
      <c r="L5332" s="346"/>
      <c r="M5332" s="438"/>
      <c r="N5332" s="1588">
        <f ca="1">HYPERLINK("#'"&amp;$G$1&amp;"'!"&amp;ADDRESS(ROW(Notes!H4008),COLUMN(Notes!H4008),4),H4008)</f>
        <v>0</v>
      </c>
      <c r="O5332" s="1544">
        <f t="shared" ca="1" si="567"/>
        <v>0</v>
      </c>
      <c r="P5332" s="438"/>
      <c r="Q5332" s="442"/>
      <c r="R5332" s="443"/>
      <c r="S5332" s="364"/>
      <c r="Z5332" s="609" t="s">
        <v>2105</v>
      </c>
      <c r="AA5332" s="609" t="s">
        <v>19</v>
      </c>
    </row>
    <row r="5333" spans="1:27" ht="18">
      <c r="A5333" s="2714"/>
      <c r="B5333" s="371">
        <v>108</v>
      </c>
      <c r="C5333" s="371"/>
      <c r="D5333" s="2716">
        <f t="shared" si="566"/>
        <v>1</v>
      </c>
      <c r="E5333" s="2721">
        <v>1</v>
      </c>
      <c r="F5333" s="293"/>
      <c r="G5333" s="308" t="s">
        <v>550</v>
      </c>
      <c r="H5333" s="309"/>
      <c r="I5333" s="422"/>
      <c r="J5333" s="309"/>
      <c r="K5333" s="320"/>
      <c r="L5333" s="346"/>
      <c r="M5333" s="438"/>
      <c r="N5333" s="1588">
        <f ca="1">HYPERLINK("#'"&amp;$G$1&amp;"'!"&amp;ADDRESS(ROW(Notes!H4059),COLUMN(Notes!H4059),4),H4059)</f>
        <v>0</v>
      </c>
      <c r="O5333" s="1544">
        <f t="shared" ca="1" si="567"/>
        <v>0</v>
      </c>
      <c r="P5333" s="438"/>
      <c r="Q5333" s="442"/>
      <c r="R5333" s="443"/>
      <c r="S5333" s="364"/>
      <c r="Z5333" s="609" t="s">
        <v>2105</v>
      </c>
      <c r="AA5333" s="609" t="s">
        <v>19</v>
      </c>
    </row>
    <row r="5334" spans="1:27" ht="18">
      <c r="A5334" s="2714"/>
      <c r="B5334" s="371">
        <v>109</v>
      </c>
      <c r="C5334" s="371"/>
      <c r="D5334" s="2716">
        <f t="shared" si="566"/>
        <v>1</v>
      </c>
      <c r="E5334" s="2721">
        <v>1</v>
      </c>
      <c r="F5334" s="293"/>
      <c r="G5334" s="308" t="s">
        <v>554</v>
      </c>
      <c r="H5334" s="309"/>
      <c r="I5334" s="422"/>
      <c r="J5334" s="309"/>
      <c r="K5334" s="320"/>
      <c r="L5334" s="346"/>
      <c r="M5334" s="438"/>
      <c r="N5334" s="1588">
        <f ca="1">HYPERLINK("#'"&amp;$G$1&amp;"'!"&amp;ADDRESS(ROW(Notes!H4127),COLUMN(Notes!H4127),4),H4127)</f>
        <v>0</v>
      </c>
      <c r="O5334" s="1544">
        <f t="shared" ca="1" si="567"/>
        <v>0</v>
      </c>
      <c r="P5334" s="438"/>
      <c r="Q5334" s="442"/>
      <c r="R5334" s="443"/>
      <c r="S5334" s="364"/>
      <c r="Z5334" s="609" t="s">
        <v>2105</v>
      </c>
      <c r="AA5334" s="609" t="s">
        <v>19</v>
      </c>
    </row>
    <row r="5335" spans="1:27" ht="18">
      <c r="A5335" s="2714"/>
      <c r="B5335" s="371">
        <v>110</v>
      </c>
      <c r="C5335" s="371" t="s">
        <v>6536</v>
      </c>
      <c r="D5335" s="2716">
        <f t="shared" si="566"/>
        <v>0</v>
      </c>
      <c r="E5335" s="2721">
        <v>1</v>
      </c>
      <c r="F5335" s="293"/>
      <c r="G5335" s="1484" t="s">
        <v>2792</v>
      </c>
      <c r="H5335" s="309"/>
      <c r="I5335" s="422"/>
      <c r="J5335" s="309"/>
      <c r="K5335" s="320"/>
      <c r="L5335" s="346"/>
      <c r="M5335" s="438"/>
      <c r="O5335" s="1544"/>
      <c r="P5335" s="438"/>
      <c r="Q5335" s="442"/>
      <c r="R5335" s="443"/>
      <c r="S5335" s="364"/>
      <c r="Z5335" s="609" t="s">
        <v>2105</v>
      </c>
      <c r="AA5335" s="609" t="s">
        <v>19</v>
      </c>
    </row>
    <row r="5336" spans="1:27" ht="18.75" thickBot="1">
      <c r="A5336" s="2714"/>
      <c r="B5336" s="371"/>
      <c r="C5336" s="371"/>
      <c r="D5336" s="2716">
        <f t="shared" si="566"/>
        <v>1</v>
      </c>
      <c r="E5336" s="2721" t="s">
        <v>2751</v>
      </c>
      <c r="F5336" s="293"/>
      <c r="G5336" s="2234" t="s">
        <v>2752</v>
      </c>
      <c r="H5336" s="2235">
        <f>SUMPRODUCT($E5325:$E5335,H5325:H5335)</f>
        <v>0</v>
      </c>
      <c r="I5336" s="2235">
        <f>SUMPRODUCT($E5325:$E5335,I5325:I5335)</f>
        <v>0</v>
      </c>
      <c r="J5336" s="2235">
        <f>SUMPRODUCT($E5325:$E5335,J5325:J5335)</f>
        <v>0</v>
      </c>
      <c r="K5336" s="2235">
        <f>SUMPRODUCT($E5325:$E5335,K5325:K5335)</f>
        <v>0</v>
      </c>
      <c r="L5336" s="2236">
        <f>SUMPRODUCT($E5325:$E5335,L5325:L5335)</f>
        <v>0</v>
      </c>
      <c r="M5336" s="440"/>
      <c r="O5336" s="1557">
        <f ca="1">SUM(O5326:O5335)</f>
        <v>0</v>
      </c>
      <c r="P5336" s="440"/>
      <c r="Q5336" s="442"/>
      <c r="R5336" s="443"/>
      <c r="S5336" s="364"/>
      <c r="Z5336" s="609" t="s">
        <v>2105</v>
      </c>
      <c r="AA5336" s="609" t="s">
        <v>19</v>
      </c>
    </row>
    <row r="5337" spans="1:27" ht="18">
      <c r="A5337" s="2714"/>
      <c r="B5337" s="371"/>
      <c r="C5337" s="371" t="s">
        <v>2755</v>
      </c>
      <c r="D5337" s="2716"/>
      <c r="F5337" s="293"/>
      <c r="G5337" s="376"/>
      <c r="H5337" s="315"/>
      <c r="I5337" s="396"/>
      <c r="J5337" s="315"/>
      <c r="K5337" s="423"/>
      <c r="L5337" s="315"/>
      <c r="M5337" s="425"/>
      <c r="N5337" s="1585" t="s">
        <v>5495</v>
      </c>
      <c r="O5337" s="427"/>
      <c r="P5337" s="425"/>
      <c r="Q5337" s="442"/>
      <c r="R5337" s="443"/>
      <c r="S5337" s="364"/>
      <c r="Z5337" s="609" t="s">
        <v>2105</v>
      </c>
      <c r="AA5337" s="609" t="s">
        <v>19</v>
      </c>
    </row>
    <row r="5338" spans="1:27" ht="24">
      <c r="A5338" s="2714" t="s">
        <v>2113</v>
      </c>
      <c r="B5338" s="371">
        <v>2</v>
      </c>
      <c r="C5338" s="371"/>
      <c r="D5338" s="2716" t="str">
        <f>VLOOKUP($A5338,Sheet_NoteList,2,0)</f>
        <v>上期末金融负债到期期限</v>
      </c>
      <c r="E5338" s="2716" t="s">
        <v>2742</v>
      </c>
      <c r="F5338" s="293"/>
      <c r="G5338" s="372" t="str">
        <f>"("&amp;B5338&amp;")"&amp;D5338</f>
        <v>(2)上期末金融负债到期期限</v>
      </c>
      <c r="H5338" s="1517" t="str">
        <f>$A5338</f>
        <v>9325h</v>
      </c>
      <c r="I5338" s="343" t="s">
        <v>2743</v>
      </c>
      <c r="J5338" s="301" t="s">
        <v>2744</v>
      </c>
      <c r="K5338" s="2210">
        <f>H5353</f>
        <v>0</v>
      </c>
      <c r="L5338" s="349"/>
      <c r="M5338" s="301" t="s">
        <v>2745</v>
      </c>
      <c r="N5338" s="2210">
        <f>I5353</f>
        <v>0</v>
      </c>
      <c r="O5338" s="349"/>
      <c r="P5338" s="301"/>
      <c r="S5338" s="364"/>
      <c r="Z5338" s="609" t="s">
        <v>2105</v>
      </c>
      <c r="AA5338" s="609" t="s">
        <v>19</v>
      </c>
    </row>
    <row r="5339" spans="1:27" ht="0.75" customHeight="1">
      <c r="A5339" s="2714"/>
      <c r="B5339" s="371"/>
      <c r="C5339" s="371"/>
      <c r="D5339" s="2716"/>
      <c r="F5339" s="371"/>
      <c r="G5339" s="405" t="s">
        <v>4493</v>
      </c>
      <c r="H5339" s="371" t="s">
        <v>2747</v>
      </c>
      <c r="I5339" s="371" t="s">
        <v>2748</v>
      </c>
      <c r="J5339" s="371" t="s">
        <v>2948</v>
      </c>
      <c r="K5339" s="547" t="s">
        <v>3034</v>
      </c>
      <c r="L5339" s="547" t="s">
        <v>3035</v>
      </c>
      <c r="M5339" s="433"/>
      <c r="N5339" s="428"/>
      <c r="O5339" s="428"/>
      <c r="P5339" s="433"/>
      <c r="Q5339" s="442"/>
      <c r="R5339" s="443"/>
      <c r="S5339" s="364"/>
      <c r="Z5339" s="609" t="s">
        <v>2105</v>
      </c>
      <c r="AA5339" s="609" t="s">
        <v>19</v>
      </c>
    </row>
    <row r="5340" spans="1:27" ht="0.75" customHeight="1" thickBot="1">
      <c r="A5340" s="2714"/>
      <c r="B5340" s="371"/>
      <c r="C5340" s="371"/>
      <c r="D5340" s="2716"/>
      <c r="F5340" s="371"/>
      <c r="G5340" s="405"/>
      <c r="H5340" s="371" t="s">
        <v>4494</v>
      </c>
      <c r="I5340" s="371" t="s">
        <v>4495</v>
      </c>
      <c r="J5340" s="371" t="s">
        <v>4496</v>
      </c>
      <c r="K5340" s="547" t="s">
        <v>4497</v>
      </c>
      <c r="L5340" s="547" t="s">
        <v>4498</v>
      </c>
      <c r="M5340" s="433"/>
      <c r="N5340" s="428"/>
      <c r="O5340" s="428"/>
      <c r="P5340" s="433"/>
      <c r="Q5340" s="442"/>
      <c r="R5340" s="443"/>
      <c r="S5340" s="364"/>
      <c r="Z5340" s="609" t="s">
        <v>2105</v>
      </c>
      <c r="AA5340" s="609" t="s">
        <v>19</v>
      </c>
    </row>
    <row r="5341" spans="1:27" ht="18" customHeight="1" thickTop="1">
      <c r="A5341" s="2714"/>
      <c r="B5341" s="371"/>
      <c r="C5341" s="371"/>
      <c r="D5341" s="2716"/>
      <c r="E5341" s="2716" t="s">
        <v>2749</v>
      </c>
      <c r="F5341" s="293"/>
      <c r="G5341" s="3161" t="s">
        <v>47</v>
      </c>
      <c r="H5341" s="3142" t="str">
        <f>$V$3</f>
        <v>2018年12月31日</v>
      </c>
      <c r="I5341" s="3201"/>
      <c r="J5341" s="3201"/>
      <c r="K5341" s="3201"/>
      <c r="L5341" s="3201"/>
      <c r="M5341" s="355" t="s">
        <v>5348</v>
      </c>
      <c r="N5341" s="1536" t="s">
        <v>5543</v>
      </c>
      <c r="O5341" s="1536" t="s">
        <v>5542</v>
      </c>
      <c r="P5341" s="435"/>
      <c r="Q5341" s="442"/>
      <c r="R5341" s="443"/>
      <c r="S5341" s="364"/>
      <c r="Z5341" s="609" t="s">
        <v>2105</v>
      </c>
      <c r="AA5341" s="609" t="s">
        <v>19</v>
      </c>
    </row>
    <row r="5342" spans="1:27" ht="18">
      <c r="A5342" s="2714"/>
      <c r="B5342" s="371"/>
      <c r="C5342" s="371"/>
      <c r="D5342" s="2716"/>
      <c r="E5342" s="2716" t="s">
        <v>2749</v>
      </c>
      <c r="F5342" s="293"/>
      <c r="G5342" s="3162"/>
      <c r="H5342" s="2490" t="s">
        <v>4491</v>
      </c>
      <c r="I5342" s="2490" t="s">
        <v>4492</v>
      </c>
      <c r="J5342" s="2490" t="s">
        <v>2962</v>
      </c>
      <c r="K5342" s="2491" t="s">
        <v>2963</v>
      </c>
      <c r="L5342" s="2492" t="s">
        <v>3108</v>
      </c>
      <c r="M5342" s="435"/>
      <c r="N5342" s="1611"/>
      <c r="O5342" s="1611"/>
      <c r="P5342" s="435"/>
      <c r="Q5342" s="442"/>
      <c r="R5342" s="443"/>
      <c r="S5342" s="364"/>
      <c r="Z5342" s="609" t="s">
        <v>2105</v>
      </c>
      <c r="AA5342" s="609" t="s">
        <v>19</v>
      </c>
    </row>
    <row r="5343" spans="1:27" ht="18">
      <c r="A5343" s="2714"/>
      <c r="B5343" s="371">
        <v>101</v>
      </c>
      <c r="C5343" s="371"/>
      <c r="D5343" s="2716">
        <f t="shared" ref="D5343:D5353" si="568">IF(OR(G5343="*",G5343="",G5343=0),0,COUNTIF($G$5343:$G$5353,G5343))</f>
        <v>1</v>
      </c>
      <c r="E5343" s="2721">
        <v>1</v>
      </c>
      <c r="F5343" s="293"/>
      <c r="G5343" s="319" t="s">
        <v>454</v>
      </c>
      <c r="H5343" s="309"/>
      <c r="I5343" s="422"/>
      <c r="J5343" s="309"/>
      <c r="K5343" s="320"/>
      <c r="L5343" s="346"/>
      <c r="M5343" s="438"/>
      <c r="N5343" s="1588">
        <f ca="1">HYPERLINK("#'"&amp;$G$1&amp;"'!"&amp;ADDRESS(ROW(Notes!I3327),COLUMN(Notes!I3327),4),I3327)</f>
        <v>0</v>
      </c>
      <c r="O5343" s="1544">
        <f ca="1">N5343-SUM(H5343:L5343)</f>
        <v>0</v>
      </c>
      <c r="P5343" s="438"/>
      <c r="Q5343" s="442"/>
      <c r="R5343" s="443"/>
      <c r="S5343" s="364"/>
      <c r="Z5343" s="609" t="s">
        <v>2105</v>
      </c>
      <c r="AA5343" s="609" t="s">
        <v>19</v>
      </c>
    </row>
    <row r="5344" spans="1:27" ht="18">
      <c r="A5344" s="2714"/>
      <c r="B5344" s="371">
        <v>102</v>
      </c>
      <c r="C5344" s="371"/>
      <c r="D5344" s="2716">
        <f t="shared" si="568"/>
        <v>1</v>
      </c>
      <c r="E5344" s="2721">
        <v>1</v>
      </c>
      <c r="F5344" s="293"/>
      <c r="G5344" s="319" t="s">
        <v>471</v>
      </c>
      <c r="H5344" s="309"/>
      <c r="I5344" s="422"/>
      <c r="J5344" s="309"/>
      <c r="K5344" s="320"/>
      <c r="L5344" s="346"/>
      <c r="M5344" s="438"/>
      <c r="N5344" s="1588">
        <f ca="1">HYPERLINK("#'"&amp;$G$1&amp;"'!"&amp;ADDRESS(ROW(Notes!I3439),COLUMN(Notes!I3439),4),I3439)</f>
        <v>0</v>
      </c>
      <c r="O5344" s="1544">
        <f t="shared" ref="O5344:O5350" ca="1" si="569">N5344-SUM(H5344:L5344)</f>
        <v>0</v>
      </c>
      <c r="P5344" s="438"/>
      <c r="Q5344" s="442"/>
      <c r="R5344" s="443"/>
      <c r="S5344" s="364"/>
      <c r="Z5344" s="609" t="s">
        <v>2105</v>
      </c>
      <c r="AA5344" s="609" t="s">
        <v>19</v>
      </c>
    </row>
    <row r="5345" spans="1:27" ht="18">
      <c r="A5345" s="2714"/>
      <c r="B5345" s="371">
        <v>103</v>
      </c>
      <c r="C5345" s="371"/>
      <c r="D5345" s="2716">
        <f t="shared" si="568"/>
        <v>1</v>
      </c>
      <c r="E5345" s="2721">
        <v>1</v>
      </c>
      <c r="F5345" s="293"/>
      <c r="G5345" s="319" t="s">
        <v>476</v>
      </c>
      <c r="H5345" s="309"/>
      <c r="I5345" s="422"/>
      <c r="J5345" s="309"/>
      <c r="K5345" s="320"/>
      <c r="L5345" s="346"/>
      <c r="M5345" s="438"/>
      <c r="N5345" s="1588">
        <f ca="1">HYPERLINK("#'"&amp;$G$1&amp;"'!"&amp;ADDRESS(ROW(Notes!I3452),COLUMN(Notes!I3452),4),I3452)</f>
        <v>0</v>
      </c>
      <c r="O5345" s="1544">
        <f t="shared" ca="1" si="569"/>
        <v>0</v>
      </c>
      <c r="P5345" s="438"/>
      <c r="Q5345" s="442"/>
      <c r="R5345" s="443"/>
      <c r="S5345" s="364"/>
      <c r="Z5345" s="609" t="s">
        <v>2105</v>
      </c>
      <c r="AA5345" s="609" t="s">
        <v>19</v>
      </c>
    </row>
    <row r="5346" spans="1:27" ht="18">
      <c r="A5346" s="2714"/>
      <c r="B5346" s="371">
        <v>104</v>
      </c>
      <c r="C5346" s="371"/>
      <c r="D5346" s="2716">
        <f t="shared" si="568"/>
        <v>1</v>
      </c>
      <c r="E5346" s="2721">
        <v>1</v>
      </c>
      <c r="F5346" s="293"/>
      <c r="G5346" s="319" t="s">
        <v>499</v>
      </c>
      <c r="H5346" s="309"/>
      <c r="I5346" s="422"/>
      <c r="J5346" s="309"/>
      <c r="K5346" s="320"/>
      <c r="L5346" s="346"/>
      <c r="M5346" s="438"/>
      <c r="N5346" s="1588">
        <f ca="1">HYPERLINK("#'"&amp;$G$1&amp;"'!"&amp;ADDRESS(ROW(Notes!I3788),COLUMN(Notes!I3788),4),I3788)</f>
        <v>0</v>
      </c>
      <c r="O5346" s="1544">
        <f t="shared" ca="1" si="569"/>
        <v>0</v>
      </c>
      <c r="P5346" s="438"/>
      <c r="Q5346" s="442"/>
      <c r="R5346" s="443"/>
      <c r="S5346" s="364"/>
      <c r="Z5346" s="609" t="s">
        <v>2105</v>
      </c>
      <c r="AA5346" s="609" t="s">
        <v>19</v>
      </c>
    </row>
    <row r="5347" spans="1:27" ht="18">
      <c r="A5347" s="2714"/>
      <c r="B5347" s="371">
        <v>105</v>
      </c>
      <c r="C5347" s="371"/>
      <c r="D5347" s="2716">
        <f t="shared" si="568"/>
        <v>1</v>
      </c>
      <c r="E5347" s="2721">
        <v>1</v>
      </c>
      <c r="F5347" s="293"/>
      <c r="G5347" s="319" t="s">
        <v>513</v>
      </c>
      <c r="H5347" s="309"/>
      <c r="I5347" s="422"/>
      <c r="J5347" s="309"/>
      <c r="K5347" s="320"/>
      <c r="L5347" s="346"/>
      <c r="M5347" s="438"/>
      <c r="N5347" s="1588">
        <f ca="1">HYPERLINK("#'"&amp;$G$1&amp;"'!"&amp;ADDRESS(ROW(Notes!I3837),COLUMN(Notes!I3837),4),I3837)</f>
        <v>0</v>
      </c>
      <c r="O5347" s="1544">
        <f t="shared" ca="1" si="569"/>
        <v>0</v>
      </c>
      <c r="P5347" s="438"/>
      <c r="Q5347" s="442"/>
      <c r="R5347" s="443"/>
      <c r="S5347" s="364"/>
      <c r="Z5347" s="609" t="s">
        <v>2105</v>
      </c>
      <c r="AA5347" s="609" t="s">
        <v>19</v>
      </c>
    </row>
    <row r="5348" spans="1:27" ht="18">
      <c r="A5348" s="2714"/>
      <c r="B5348" s="371">
        <v>106</v>
      </c>
      <c r="C5348" s="371"/>
      <c r="D5348" s="2716">
        <f t="shared" si="568"/>
        <v>1</v>
      </c>
      <c r="E5348" s="2721">
        <v>1</v>
      </c>
      <c r="F5348" s="293"/>
      <c r="G5348" s="319" t="s">
        <v>546</v>
      </c>
      <c r="H5348" s="309"/>
      <c r="I5348" s="422"/>
      <c r="J5348" s="309"/>
      <c r="K5348" s="320"/>
      <c r="L5348" s="346"/>
      <c r="M5348" s="438"/>
      <c r="N5348" s="1588">
        <f ca="1">HYPERLINK("#'"&amp;$G$1&amp;"'!"&amp;ADDRESS(ROW(Notes!I4008),COLUMN(Notes!I4008),4),I4008)</f>
        <v>0</v>
      </c>
      <c r="O5348" s="1544">
        <f t="shared" ca="1" si="569"/>
        <v>0</v>
      </c>
      <c r="P5348" s="438"/>
      <c r="Q5348" s="442"/>
      <c r="R5348" s="443"/>
      <c r="S5348" s="364"/>
      <c r="Z5348" s="609" t="s">
        <v>2105</v>
      </c>
      <c r="AA5348" s="609" t="s">
        <v>19</v>
      </c>
    </row>
    <row r="5349" spans="1:27" ht="18">
      <c r="A5349" s="2714"/>
      <c r="B5349" s="371">
        <v>107</v>
      </c>
      <c r="C5349" s="371"/>
      <c r="D5349" s="2716">
        <f t="shared" si="568"/>
        <v>1</v>
      </c>
      <c r="E5349" s="2721">
        <v>1</v>
      </c>
      <c r="F5349" s="293"/>
      <c r="G5349" s="319" t="s">
        <v>550</v>
      </c>
      <c r="H5349" s="309"/>
      <c r="I5349" s="422"/>
      <c r="J5349" s="309"/>
      <c r="K5349" s="320"/>
      <c r="L5349" s="346"/>
      <c r="M5349" s="438"/>
      <c r="N5349" s="1588">
        <f ca="1">HYPERLINK("#'"&amp;$G$1&amp;"'!"&amp;ADDRESS(ROW(Notes!I4059),COLUMN(Notes!I4059),4),I4059)</f>
        <v>0</v>
      </c>
      <c r="O5349" s="1544">
        <f t="shared" ca="1" si="569"/>
        <v>0</v>
      </c>
      <c r="P5349" s="438"/>
      <c r="Q5349" s="442"/>
      <c r="R5349" s="443"/>
      <c r="S5349" s="364"/>
      <c r="Z5349" s="609" t="s">
        <v>2105</v>
      </c>
      <c r="AA5349" s="609" t="s">
        <v>19</v>
      </c>
    </row>
    <row r="5350" spans="1:27" ht="18">
      <c r="A5350" s="2714"/>
      <c r="B5350" s="371">
        <v>108</v>
      </c>
      <c r="C5350" s="371"/>
      <c r="D5350" s="2716">
        <f t="shared" si="568"/>
        <v>1</v>
      </c>
      <c r="E5350" s="2721">
        <v>1</v>
      </c>
      <c r="F5350" s="293"/>
      <c r="G5350" s="319" t="s">
        <v>554</v>
      </c>
      <c r="H5350" s="309"/>
      <c r="I5350" s="422"/>
      <c r="J5350" s="309"/>
      <c r="K5350" s="320"/>
      <c r="L5350" s="346"/>
      <c r="M5350" s="438"/>
      <c r="N5350" s="1588">
        <f ca="1">HYPERLINK("#'"&amp;$G$1&amp;"'!"&amp;ADDRESS(ROW(Notes!I4127),COLUMN(Notes!I4127),4),I4127)</f>
        <v>0</v>
      </c>
      <c r="O5350" s="1544">
        <f t="shared" ca="1" si="569"/>
        <v>0</v>
      </c>
      <c r="P5350" s="438"/>
      <c r="Q5350" s="442"/>
      <c r="R5350" s="443"/>
      <c r="S5350" s="364"/>
      <c r="Z5350" s="609" t="s">
        <v>2105</v>
      </c>
      <c r="AA5350" s="609" t="s">
        <v>19</v>
      </c>
    </row>
    <row r="5351" spans="1:27" ht="18">
      <c r="A5351" s="2714"/>
      <c r="B5351" s="371">
        <v>109</v>
      </c>
      <c r="C5351" s="371" t="s">
        <v>2791</v>
      </c>
      <c r="D5351" s="2716">
        <f t="shared" si="568"/>
        <v>0</v>
      </c>
      <c r="E5351" s="2721">
        <v>1</v>
      </c>
      <c r="F5351" s="293"/>
      <c r="G5351" s="319" t="s">
        <v>2792</v>
      </c>
      <c r="H5351" s="309"/>
      <c r="I5351" s="422"/>
      <c r="J5351" s="309"/>
      <c r="K5351" s="320"/>
      <c r="L5351" s="346"/>
      <c r="M5351" s="438"/>
      <c r="O5351" s="1544"/>
      <c r="P5351" s="438"/>
      <c r="Q5351" s="442"/>
      <c r="R5351" s="443"/>
      <c r="S5351" s="364"/>
      <c r="Z5351" s="609" t="s">
        <v>2105</v>
      </c>
      <c r="AA5351" s="609" t="s">
        <v>19</v>
      </c>
    </row>
    <row r="5352" spans="1:27" ht="18">
      <c r="A5352" s="2714"/>
      <c r="B5352" s="371">
        <v>110</v>
      </c>
      <c r="C5352" s="371" t="s">
        <v>2791</v>
      </c>
      <c r="D5352" s="2716">
        <f t="shared" si="568"/>
        <v>0</v>
      </c>
      <c r="E5352" s="2721">
        <v>1</v>
      </c>
      <c r="F5352" s="293"/>
      <c r="G5352" s="319" t="s">
        <v>2792</v>
      </c>
      <c r="H5352" s="309"/>
      <c r="I5352" s="422"/>
      <c r="J5352" s="309"/>
      <c r="K5352" s="320"/>
      <c r="L5352" s="346"/>
      <c r="M5352" s="438"/>
      <c r="O5352" s="1544"/>
      <c r="P5352" s="438"/>
      <c r="Q5352" s="442"/>
      <c r="R5352" s="443"/>
      <c r="S5352" s="364"/>
      <c r="Z5352" s="609" t="s">
        <v>2105</v>
      </c>
      <c r="AA5352" s="609" t="s">
        <v>19</v>
      </c>
    </row>
    <row r="5353" spans="1:27" ht="18.75" thickBot="1">
      <c r="A5353" s="2714"/>
      <c r="B5353" s="371"/>
      <c r="C5353" s="371"/>
      <c r="D5353" s="2716">
        <f t="shared" si="568"/>
        <v>1</v>
      </c>
      <c r="E5353" s="2721" t="s">
        <v>2751</v>
      </c>
      <c r="F5353" s="293"/>
      <c r="G5353" s="2234" t="s">
        <v>2752</v>
      </c>
      <c r="H5353" s="2325">
        <f>SUMPRODUCT($E5342:$E5352,H5342:H5352)</f>
        <v>0</v>
      </c>
      <c r="I5353" s="2325">
        <f>SUMPRODUCT($E5342:$E5352,I5342:I5352)</f>
        <v>0</v>
      </c>
      <c r="J5353" s="2325">
        <f>SUMPRODUCT($E5342:$E5352,J5342:J5352)</f>
        <v>0</v>
      </c>
      <c r="K5353" s="2325">
        <f>SUMPRODUCT($E5342:$E5352,K5342:K5352)</f>
        <v>0</v>
      </c>
      <c r="L5353" s="2342">
        <f>SUMPRODUCT($E5342:$E5352,L5342:L5352)</f>
        <v>0</v>
      </c>
      <c r="M5353" s="440"/>
      <c r="O5353" s="1557">
        <f ca="1">SUM(O5343:O5352)</f>
        <v>0</v>
      </c>
      <c r="P5353" s="440"/>
      <c r="Q5353" s="442"/>
      <c r="R5353" s="443"/>
      <c r="S5353" s="364"/>
      <c r="Z5353" s="609" t="s">
        <v>2105</v>
      </c>
      <c r="AA5353" s="609" t="s">
        <v>19</v>
      </c>
    </row>
    <row r="5354" spans="1:27" ht="18">
      <c r="A5354" s="2714"/>
      <c r="B5354" s="371"/>
      <c r="C5354" s="371" t="s">
        <v>2755</v>
      </c>
      <c r="D5354" s="2716"/>
      <c r="F5354" s="293"/>
      <c r="G5354" s="376"/>
      <c r="H5354" s="315"/>
      <c r="I5354" s="396"/>
      <c r="J5354" s="315"/>
      <c r="K5354" s="423"/>
      <c r="L5354" s="315"/>
      <c r="M5354" s="425"/>
      <c r="N5354" s="1585" t="s">
        <v>5495</v>
      </c>
      <c r="O5354" s="427"/>
      <c r="P5354" s="425"/>
      <c r="Q5354" s="442"/>
      <c r="R5354" s="443"/>
      <c r="S5354" s="364"/>
      <c r="Z5354" s="609" t="s">
        <v>2105</v>
      </c>
      <c r="AA5354" s="609" t="s">
        <v>19</v>
      </c>
    </row>
    <row r="5355" spans="1:27" ht="24">
      <c r="A5355" s="2714" t="s">
        <v>2115</v>
      </c>
      <c r="B5355" s="371">
        <v>3</v>
      </c>
      <c r="C5355" s="371"/>
      <c r="D5355" s="2716" t="str">
        <f>VLOOKUP($A5355,Sheet_NoteList,2,0)</f>
        <v>本期末金融资产的到期期限分析</v>
      </c>
      <c r="E5355" s="2716" t="s">
        <v>2742</v>
      </c>
      <c r="F5355" s="293"/>
      <c r="G5355" s="372" t="str">
        <f>"("&amp;B5355&amp;")"&amp;D5355</f>
        <v>(3)本期末金融资产的到期期限分析</v>
      </c>
      <c r="H5355" s="1517" t="str">
        <f>$A5355</f>
        <v>9325i</v>
      </c>
      <c r="I5355" s="343" t="s">
        <v>2743</v>
      </c>
      <c r="J5355" s="301" t="s">
        <v>2744</v>
      </c>
      <c r="K5355" s="2210">
        <f>H5369</f>
        <v>0</v>
      </c>
      <c r="L5355" s="349"/>
      <c r="M5355" s="301" t="s">
        <v>2745</v>
      </c>
      <c r="N5355" s="2210">
        <f>I5369</f>
        <v>0</v>
      </c>
      <c r="O5355" s="349"/>
      <c r="P5355" s="301"/>
      <c r="S5355" s="364"/>
      <c r="Z5355" s="609" t="s">
        <v>2105</v>
      </c>
      <c r="AA5355" s="609" t="s">
        <v>19</v>
      </c>
    </row>
    <row r="5356" spans="1:27" ht="0.75" customHeight="1">
      <c r="A5356" s="2714"/>
      <c r="B5356" s="371"/>
      <c r="C5356" s="371"/>
      <c r="D5356" s="2716"/>
      <c r="F5356" s="371"/>
      <c r="G5356" s="405" t="s">
        <v>4499</v>
      </c>
      <c r="H5356" s="371" t="s">
        <v>2747</v>
      </c>
      <c r="I5356" s="371" t="s">
        <v>2748</v>
      </c>
      <c r="J5356" s="371" t="s">
        <v>2948</v>
      </c>
      <c r="K5356" s="547" t="s">
        <v>3034</v>
      </c>
      <c r="L5356" s="547" t="s">
        <v>3035</v>
      </c>
      <c r="M5356" s="371" t="s">
        <v>3036</v>
      </c>
      <c r="N5356" s="428"/>
      <c r="O5356" s="428"/>
      <c r="P5356" s="433"/>
      <c r="Q5356" s="442"/>
      <c r="R5356" s="443"/>
      <c r="S5356" s="364"/>
      <c r="Z5356" s="609" t="s">
        <v>2105</v>
      </c>
      <c r="AA5356" s="609" t="s">
        <v>19</v>
      </c>
    </row>
    <row r="5357" spans="1:27" ht="0.75" customHeight="1" thickBot="1">
      <c r="A5357" s="2714"/>
      <c r="B5357" s="371"/>
      <c r="C5357" s="371"/>
      <c r="D5357" s="2716"/>
      <c r="F5357" s="371"/>
      <c r="G5357" s="405"/>
      <c r="H5357" s="371" t="s">
        <v>4500</v>
      </c>
      <c r="I5357" s="371" t="s">
        <v>4501</v>
      </c>
      <c r="J5357" s="371" t="s">
        <v>4502</v>
      </c>
      <c r="K5357" s="547" t="s">
        <v>4503</v>
      </c>
      <c r="L5357" s="547" t="s">
        <v>4504</v>
      </c>
      <c r="M5357" s="371" t="s">
        <v>4505</v>
      </c>
      <c r="N5357" s="428"/>
      <c r="O5357" s="428"/>
      <c r="P5357" s="433"/>
      <c r="Q5357" s="442"/>
      <c r="R5357" s="443"/>
      <c r="S5357" s="364"/>
      <c r="Z5357" s="609" t="s">
        <v>2105</v>
      </c>
      <c r="AA5357" s="609" t="s">
        <v>19</v>
      </c>
    </row>
    <row r="5358" spans="1:27" ht="18" customHeight="1" thickTop="1">
      <c r="A5358" s="2714"/>
      <c r="B5358" s="371"/>
      <c r="C5358" s="371"/>
      <c r="D5358" s="2716"/>
      <c r="E5358" s="2716" t="s">
        <v>2749</v>
      </c>
      <c r="F5358" s="293"/>
      <c r="G5358" s="3161" t="s">
        <v>47</v>
      </c>
      <c r="H5358" s="3142" t="str">
        <f>$V$2</f>
        <v>2019年12月31日</v>
      </c>
      <c r="I5358" s="3201"/>
      <c r="J5358" s="3201"/>
      <c r="K5358" s="3201"/>
      <c r="L5358" s="3201"/>
      <c r="M5358" s="3201"/>
      <c r="N5358" s="355" t="s">
        <v>5348</v>
      </c>
      <c r="O5358" s="1536" t="s">
        <v>5541</v>
      </c>
      <c r="P5358" s="1536" t="s">
        <v>5542</v>
      </c>
      <c r="Q5358" s="442"/>
      <c r="R5358" s="443"/>
      <c r="S5358" s="364"/>
      <c r="Z5358" s="609" t="s">
        <v>2105</v>
      </c>
      <c r="AA5358" s="609" t="s">
        <v>19</v>
      </c>
    </row>
    <row r="5359" spans="1:27" ht="18">
      <c r="A5359" s="2714"/>
      <c r="B5359" s="371"/>
      <c r="C5359" s="371"/>
      <c r="D5359" s="2716"/>
      <c r="E5359" s="2716" t="s">
        <v>2749</v>
      </c>
      <c r="F5359" s="293"/>
      <c r="G5359" s="3162"/>
      <c r="H5359" s="2490" t="s">
        <v>4506</v>
      </c>
      <c r="I5359" s="2490" t="s">
        <v>4507</v>
      </c>
      <c r="J5359" s="2490" t="s">
        <v>4508</v>
      </c>
      <c r="K5359" s="2491" t="s">
        <v>4509</v>
      </c>
      <c r="L5359" s="2491" t="s">
        <v>2944</v>
      </c>
      <c r="M5359" s="2493" t="s">
        <v>3351</v>
      </c>
      <c r="N5359" s="434"/>
      <c r="O5359" s="1611"/>
      <c r="P5359" s="1611"/>
      <c r="Q5359" s="442"/>
      <c r="R5359" s="443"/>
      <c r="S5359" s="364"/>
      <c r="Z5359" s="609" t="s">
        <v>2105</v>
      </c>
      <c r="AA5359" s="609" t="s">
        <v>19</v>
      </c>
    </row>
    <row r="5360" spans="1:27" ht="18">
      <c r="A5360" s="2714"/>
      <c r="B5360" s="371">
        <v>101</v>
      </c>
      <c r="C5360" s="371"/>
      <c r="D5360" s="2716">
        <f t="shared" ref="D5360:D5369" si="570">IF(OR(G5360="*",G5360="",G5360=0),0,COUNTIF($G$5360:$G$5369,G5360))</f>
        <v>1</v>
      </c>
      <c r="E5360" s="2721">
        <v>1</v>
      </c>
      <c r="F5360" s="293"/>
      <c r="G5360" s="319" t="s">
        <v>10</v>
      </c>
      <c r="H5360" s="309"/>
      <c r="I5360" s="422"/>
      <c r="J5360" s="309"/>
      <c r="K5360" s="320"/>
      <c r="L5360" s="309"/>
      <c r="M5360" s="346"/>
      <c r="N5360" s="439"/>
      <c r="O5360" s="1588">
        <f ca="1">HYPERLINK("#'"&amp;$G$1&amp;"'!"&amp;ADDRESS(ROW(Notes!H17),COLUMN(Notes!H17),4),H17)</f>
        <v>0</v>
      </c>
      <c r="P5360" s="1544">
        <f ca="1">O5360-M5360</f>
        <v>0</v>
      </c>
      <c r="Q5360" s="442"/>
      <c r="R5360" s="443"/>
      <c r="S5360" s="364"/>
      <c r="Z5360" s="609" t="s">
        <v>2105</v>
      </c>
      <c r="AA5360" s="609" t="s">
        <v>19</v>
      </c>
    </row>
    <row r="5361" spans="1:27" ht="18">
      <c r="A5361" s="2714"/>
      <c r="B5361" s="371">
        <v>102</v>
      </c>
      <c r="C5361" s="371"/>
      <c r="D5361" s="2716">
        <f t="shared" si="570"/>
        <v>1</v>
      </c>
      <c r="E5361" s="2721">
        <v>1</v>
      </c>
      <c r="F5361" s="293"/>
      <c r="G5361" s="319" t="s">
        <v>109</v>
      </c>
      <c r="H5361" s="309"/>
      <c r="I5361" s="422"/>
      <c r="J5361" s="309"/>
      <c r="K5361" s="320"/>
      <c r="L5361" s="309"/>
      <c r="M5361" s="346"/>
      <c r="N5361" s="439"/>
      <c r="O5361" s="1588">
        <f ca="1">HYPERLINK("#'"&amp;$G$1&amp;"'!"&amp;ADDRESS(ROW(Notes!J128),COLUMN(Notes!J128),4),J128)</f>
        <v>0</v>
      </c>
      <c r="P5361" s="1544">
        <f t="shared" ref="P5361:P5367" ca="1" si="571">O5361-M5361</f>
        <v>0</v>
      </c>
      <c r="Q5361" s="442"/>
      <c r="R5361" s="443"/>
      <c r="S5361" s="364"/>
      <c r="Z5361" s="609" t="s">
        <v>2105</v>
      </c>
      <c r="AA5361" s="609" t="s">
        <v>19</v>
      </c>
    </row>
    <row r="5362" spans="1:27" ht="18">
      <c r="A5362" s="2714"/>
      <c r="B5362" s="371">
        <v>103</v>
      </c>
      <c r="C5362" s="371"/>
      <c r="D5362" s="2716">
        <f t="shared" si="570"/>
        <v>1</v>
      </c>
      <c r="E5362" s="2721">
        <v>1</v>
      </c>
      <c r="F5362" s="293"/>
      <c r="G5362" s="319" t="s">
        <v>124</v>
      </c>
      <c r="H5362" s="309"/>
      <c r="I5362" s="422"/>
      <c r="J5362" s="309"/>
      <c r="K5362" s="320"/>
      <c r="L5362" s="309"/>
      <c r="M5362" s="346"/>
      <c r="N5362" s="439"/>
      <c r="O5362" s="1588">
        <f ca="1">HYPERLINK("#'"&amp;$G$1&amp;"'!"&amp;ADDRESS(ROW(Notes!H332),COLUMN(Notes!H332),4),H332)</f>
        <v>0</v>
      </c>
      <c r="P5362" s="1544">
        <f t="shared" ca="1" si="571"/>
        <v>0</v>
      </c>
      <c r="Q5362" s="442"/>
      <c r="R5362" s="443"/>
      <c r="S5362" s="364"/>
      <c r="Z5362" s="609" t="s">
        <v>2105</v>
      </c>
      <c r="AA5362" s="609" t="s">
        <v>19</v>
      </c>
    </row>
    <row r="5363" spans="1:27" ht="18">
      <c r="A5363" s="2714"/>
      <c r="B5363" s="371">
        <v>104</v>
      </c>
      <c r="C5363" s="371"/>
      <c r="D5363" s="2716">
        <f t="shared" si="570"/>
        <v>1</v>
      </c>
      <c r="E5363" s="2721">
        <v>1</v>
      </c>
      <c r="F5363" s="293"/>
      <c r="G5363" s="319" t="s">
        <v>201</v>
      </c>
      <c r="H5363" s="309"/>
      <c r="I5363" s="422"/>
      <c r="J5363" s="309"/>
      <c r="K5363" s="320"/>
      <c r="L5363" s="309"/>
      <c r="M5363" s="346"/>
      <c r="N5363" s="439"/>
      <c r="O5363" s="1588">
        <f ca="1">HYPERLINK("#'"&amp;$G$1&amp;"'!"&amp;ADDRESS(ROW(Notes!H1004),COLUMN(Notes!H1004),4),H1004)</f>
        <v>0</v>
      </c>
      <c r="P5363" s="1544">
        <f t="shared" ca="1" si="571"/>
        <v>0</v>
      </c>
      <c r="Q5363" s="442"/>
      <c r="R5363" s="443"/>
      <c r="S5363" s="364"/>
      <c r="Z5363" s="609" t="s">
        <v>2105</v>
      </c>
      <c r="AA5363" s="609" t="s">
        <v>19</v>
      </c>
    </row>
    <row r="5364" spans="1:27" ht="18">
      <c r="A5364" s="2714"/>
      <c r="B5364" s="371">
        <v>105</v>
      </c>
      <c r="C5364" s="371"/>
      <c r="D5364" s="2716">
        <f t="shared" si="570"/>
        <v>1</v>
      </c>
      <c r="E5364" s="2721">
        <v>1</v>
      </c>
      <c r="F5364" s="293"/>
      <c r="G5364" s="319" t="s">
        <v>317</v>
      </c>
      <c r="H5364" s="309"/>
      <c r="I5364" s="422"/>
      <c r="J5364" s="309"/>
      <c r="K5364" s="320"/>
      <c r="L5364" s="309"/>
      <c r="M5364" s="346"/>
      <c r="N5364" s="439"/>
      <c r="O5364" s="1588">
        <f ca="1">HYPERLINK("#'"&amp;$G$1&amp;"'!"&amp;ADDRESS(ROW(Notes!J2216),COLUMN(Notes!J2216),4),J2216)</f>
        <v>0</v>
      </c>
      <c r="P5364" s="1544">
        <f t="shared" ca="1" si="571"/>
        <v>0</v>
      </c>
      <c r="Q5364" s="442"/>
      <c r="R5364" s="443"/>
      <c r="S5364" s="364"/>
      <c r="Z5364" s="609" t="s">
        <v>2105</v>
      </c>
      <c r="AA5364" s="609" t="s">
        <v>19</v>
      </c>
    </row>
    <row r="5365" spans="1:27" ht="18">
      <c r="A5365" s="2714"/>
      <c r="B5365" s="371">
        <v>106</v>
      </c>
      <c r="C5365" s="371"/>
      <c r="D5365" s="2716">
        <f t="shared" si="570"/>
        <v>1</v>
      </c>
      <c r="E5365" s="2721">
        <v>1</v>
      </c>
      <c r="F5365" s="293"/>
      <c r="G5365" s="319" t="s">
        <v>247</v>
      </c>
      <c r="H5365" s="309"/>
      <c r="I5365" s="422"/>
      <c r="J5365" s="309"/>
      <c r="K5365" s="320"/>
      <c r="L5365" s="309"/>
      <c r="M5365" s="346"/>
      <c r="N5365" s="439"/>
      <c r="O5365" s="1588">
        <f ca="1">HYPERLINK("#'"&amp;$G$1&amp;"'!"&amp;ADDRESS(ROW(Notes!H1820),COLUMN(Notes!H1820),4),H1820)</f>
        <v>0</v>
      </c>
      <c r="P5365" s="1544">
        <f t="shared" ca="1" si="571"/>
        <v>0</v>
      </c>
      <c r="Q5365" s="442"/>
      <c r="R5365" s="443"/>
      <c r="S5365" s="364"/>
      <c r="Z5365" s="609" t="s">
        <v>2105</v>
      </c>
      <c r="AA5365" s="609" t="s">
        <v>19</v>
      </c>
    </row>
    <row r="5366" spans="1:27" ht="18">
      <c r="A5366" s="2714"/>
      <c r="B5366" s="371">
        <v>107</v>
      </c>
      <c r="C5366" s="371"/>
      <c r="D5366" s="2716">
        <f t="shared" si="570"/>
        <v>1</v>
      </c>
      <c r="E5366" s="2721">
        <v>1</v>
      </c>
      <c r="F5366" s="293"/>
      <c r="G5366" s="319" t="s">
        <v>237</v>
      </c>
      <c r="H5366" s="309"/>
      <c r="I5366" s="422"/>
      <c r="J5366" s="309"/>
      <c r="K5366" s="320"/>
      <c r="L5366" s="309"/>
      <c r="M5366" s="346"/>
      <c r="N5366" s="439"/>
      <c r="O5366" s="1588">
        <f ca="1">HYPERLINK("#'"&amp;$G$1&amp;"'!"&amp;ADDRESS(ROW(Notes!H1797),COLUMN(Notes!H1797),4),H1797)</f>
        <v>0</v>
      </c>
      <c r="P5366" s="1544">
        <f t="shared" ca="1" si="571"/>
        <v>0</v>
      </c>
      <c r="Q5366" s="442"/>
      <c r="R5366" s="443"/>
      <c r="S5366" s="364"/>
      <c r="Z5366" s="609" t="s">
        <v>2105</v>
      </c>
      <c r="AA5366" s="609" t="s">
        <v>19</v>
      </c>
    </row>
    <row r="5367" spans="1:27" ht="18">
      <c r="A5367" s="2714"/>
      <c r="B5367" s="371">
        <v>108</v>
      </c>
      <c r="C5367" s="371"/>
      <c r="D5367" s="2716">
        <f t="shared" si="570"/>
        <v>1</v>
      </c>
      <c r="E5367" s="2721">
        <v>1</v>
      </c>
      <c r="F5367" s="293"/>
      <c r="G5367" s="319" t="s">
        <v>429</v>
      </c>
      <c r="H5367" s="309"/>
      <c r="I5367" s="422"/>
      <c r="J5367" s="309"/>
      <c r="K5367" s="320"/>
      <c r="L5367" s="309"/>
      <c r="M5367" s="346"/>
      <c r="N5367" s="439"/>
      <c r="O5367" s="1588">
        <f ca="1">HYPERLINK("#'"&amp;$G$1&amp;"'!"&amp;ADDRESS(ROW(Notes!H3316),COLUMN(Notes!H3316),4),H3316)</f>
        <v>0</v>
      </c>
      <c r="P5367" s="1544">
        <f t="shared" ca="1" si="571"/>
        <v>0</v>
      </c>
      <c r="Q5367" s="442"/>
      <c r="R5367" s="443"/>
      <c r="S5367" s="364"/>
      <c r="Z5367" s="609" t="s">
        <v>2105</v>
      </c>
      <c r="AA5367" s="609" t="s">
        <v>19</v>
      </c>
    </row>
    <row r="5368" spans="1:27" ht="18">
      <c r="A5368" s="2714"/>
      <c r="B5368" s="371">
        <v>109</v>
      </c>
      <c r="C5368" s="371" t="s">
        <v>2791</v>
      </c>
      <c r="D5368" s="2716">
        <f t="shared" si="570"/>
        <v>0</v>
      </c>
      <c r="E5368" s="2721">
        <v>1</v>
      </c>
      <c r="F5368" s="293"/>
      <c r="G5368" s="319" t="s">
        <v>2792</v>
      </c>
      <c r="H5368" s="309"/>
      <c r="I5368" s="422"/>
      <c r="J5368" s="309"/>
      <c r="K5368" s="320"/>
      <c r="L5368" s="309"/>
      <c r="M5368" s="346"/>
      <c r="N5368" s="439"/>
      <c r="P5368" s="1544"/>
      <c r="Q5368" s="442"/>
      <c r="R5368" s="443"/>
      <c r="S5368" s="364"/>
      <c r="Z5368" s="609" t="s">
        <v>2105</v>
      </c>
      <c r="AA5368" s="609" t="s">
        <v>19</v>
      </c>
    </row>
    <row r="5369" spans="1:27" ht="18.75" thickBot="1">
      <c r="A5369" s="2714"/>
      <c r="B5369" s="371"/>
      <c r="C5369" s="371"/>
      <c r="D5369" s="2716">
        <f t="shared" si="570"/>
        <v>1</v>
      </c>
      <c r="E5369" s="2721" t="s">
        <v>2751</v>
      </c>
      <c r="F5369" s="293"/>
      <c r="G5369" s="2234" t="s">
        <v>2752</v>
      </c>
      <c r="H5369" s="2325">
        <f t="shared" ref="H5369:M5369" si="572">SUMPRODUCT($E5359:$E5368,H5359:H5368)</f>
        <v>0</v>
      </c>
      <c r="I5369" s="2325">
        <f t="shared" si="572"/>
        <v>0</v>
      </c>
      <c r="J5369" s="2325">
        <f t="shared" si="572"/>
        <v>0</v>
      </c>
      <c r="K5369" s="2325">
        <f t="shared" si="572"/>
        <v>0</v>
      </c>
      <c r="L5369" s="2325">
        <f t="shared" si="572"/>
        <v>0</v>
      </c>
      <c r="M5369" s="2342">
        <f t="shared" si="572"/>
        <v>0</v>
      </c>
      <c r="N5369" s="439"/>
      <c r="P5369" s="1557">
        <f ca="1">SUM(P5360:P5368)</f>
        <v>0</v>
      </c>
      <c r="Q5369" s="442"/>
      <c r="R5369" s="443"/>
      <c r="S5369" s="364"/>
      <c r="Z5369" s="609" t="s">
        <v>2105</v>
      </c>
      <c r="AA5369" s="609" t="s">
        <v>19</v>
      </c>
    </row>
    <row r="5370" spans="1:27" ht="18">
      <c r="A5370" s="2714"/>
      <c r="B5370" s="371"/>
      <c r="C5370" s="371" t="s">
        <v>2755</v>
      </c>
      <c r="D5370" s="2716"/>
      <c r="F5370" s="293"/>
      <c r="G5370" s="376"/>
      <c r="H5370" s="315"/>
      <c r="I5370" s="396"/>
      <c r="J5370" s="315"/>
      <c r="K5370" s="423"/>
      <c r="L5370" s="315"/>
      <c r="M5370" s="315"/>
      <c r="N5370" s="426"/>
      <c r="O5370" s="1585" t="s">
        <v>5495</v>
      </c>
      <c r="P5370" s="425"/>
      <c r="Q5370" s="442"/>
      <c r="R5370" s="443"/>
      <c r="S5370" s="364"/>
      <c r="Z5370" s="609" t="s">
        <v>2105</v>
      </c>
      <c r="AA5370" s="609" t="s">
        <v>19</v>
      </c>
    </row>
    <row r="5371" spans="1:27" ht="24">
      <c r="A5371" s="2714" t="s">
        <v>2117</v>
      </c>
      <c r="B5371" s="371">
        <v>4</v>
      </c>
      <c r="C5371" s="371"/>
      <c r="D5371" s="2716" t="str">
        <f>VLOOKUP($A5371,Sheet_NoteList,2,0)</f>
        <v>上期末金融资产的到期期限分析</v>
      </c>
      <c r="E5371" s="2716" t="s">
        <v>2742</v>
      </c>
      <c r="F5371" s="293"/>
      <c r="G5371" s="372" t="str">
        <f>"("&amp;B5371&amp;")"&amp;D5371</f>
        <v>(4)上期末金融资产的到期期限分析</v>
      </c>
      <c r="H5371" s="1517" t="str">
        <f>$A5371</f>
        <v>9325j</v>
      </c>
      <c r="I5371" s="343" t="s">
        <v>2743</v>
      </c>
      <c r="J5371" s="301" t="s">
        <v>2744</v>
      </c>
      <c r="K5371" s="2210">
        <f>H5385</f>
        <v>0</v>
      </c>
      <c r="L5371" s="349"/>
      <c r="M5371" s="301" t="s">
        <v>2745</v>
      </c>
      <c r="N5371" s="2210">
        <f>I5385</f>
        <v>0</v>
      </c>
      <c r="O5371" s="349"/>
      <c r="P5371" s="301"/>
      <c r="S5371" s="364"/>
      <c r="Z5371" s="609" t="s">
        <v>2105</v>
      </c>
      <c r="AA5371" s="609" t="s">
        <v>19</v>
      </c>
    </row>
    <row r="5372" spans="1:27" ht="0.75" customHeight="1">
      <c r="A5372" s="2714"/>
      <c r="B5372" s="371"/>
      <c r="C5372" s="371"/>
      <c r="D5372" s="2716"/>
      <c r="F5372" s="371"/>
      <c r="G5372" s="405" t="s">
        <v>4510</v>
      </c>
      <c r="H5372" s="371" t="s">
        <v>2747</v>
      </c>
      <c r="I5372" s="371" t="s">
        <v>2748</v>
      </c>
      <c r="J5372" s="371" t="s">
        <v>2948</v>
      </c>
      <c r="K5372" s="547" t="s">
        <v>3034</v>
      </c>
      <c r="L5372" s="547" t="s">
        <v>3035</v>
      </c>
      <c r="M5372" s="371" t="s">
        <v>3036</v>
      </c>
      <c r="N5372" s="428"/>
      <c r="O5372" s="428"/>
      <c r="P5372" s="433"/>
      <c r="Q5372" s="442"/>
      <c r="R5372" s="443"/>
      <c r="S5372" s="364"/>
      <c r="Z5372" s="609" t="s">
        <v>2105</v>
      </c>
      <c r="AA5372" s="609" t="s">
        <v>19</v>
      </c>
    </row>
    <row r="5373" spans="1:27" ht="0.75" customHeight="1" thickBot="1">
      <c r="A5373" s="2714"/>
      <c r="B5373" s="371"/>
      <c r="C5373" s="371"/>
      <c r="D5373" s="2716"/>
      <c r="F5373" s="371"/>
      <c r="G5373" s="405"/>
      <c r="H5373" s="371" t="s">
        <v>4511</v>
      </c>
      <c r="I5373" s="371" t="s">
        <v>4512</v>
      </c>
      <c r="J5373" s="371" t="s">
        <v>4513</v>
      </c>
      <c r="K5373" s="547" t="s">
        <v>4514</v>
      </c>
      <c r="L5373" s="547" t="s">
        <v>4515</v>
      </c>
      <c r="M5373" s="371" t="s">
        <v>4516</v>
      </c>
      <c r="N5373" s="428"/>
      <c r="O5373" s="428"/>
      <c r="P5373" s="433"/>
      <c r="Q5373" s="442"/>
      <c r="R5373" s="443"/>
      <c r="S5373" s="364"/>
      <c r="Z5373" s="609" t="s">
        <v>2105</v>
      </c>
      <c r="AA5373" s="609" t="s">
        <v>19</v>
      </c>
    </row>
    <row r="5374" spans="1:27" ht="18" customHeight="1" thickTop="1">
      <c r="A5374" s="2714"/>
      <c r="B5374" s="371"/>
      <c r="C5374" s="371"/>
      <c r="D5374" s="2716"/>
      <c r="E5374" s="2716" t="s">
        <v>2749</v>
      </c>
      <c r="F5374" s="293"/>
      <c r="G5374" s="3161" t="s">
        <v>47</v>
      </c>
      <c r="H5374" s="3142" t="str">
        <f>$V$3</f>
        <v>2018年12月31日</v>
      </c>
      <c r="I5374" s="3201"/>
      <c r="J5374" s="3201"/>
      <c r="K5374" s="3201"/>
      <c r="L5374" s="3201"/>
      <c r="M5374" s="3201"/>
      <c r="N5374" s="355" t="s">
        <v>5348</v>
      </c>
      <c r="O5374" s="1536" t="s">
        <v>5543</v>
      </c>
      <c r="P5374" s="1536" t="s">
        <v>5542</v>
      </c>
      <c r="Q5374" s="442"/>
      <c r="R5374" s="443"/>
      <c r="S5374" s="364"/>
      <c r="Z5374" s="609" t="s">
        <v>2105</v>
      </c>
      <c r="AA5374" s="609" t="s">
        <v>19</v>
      </c>
    </row>
    <row r="5375" spans="1:27" ht="18">
      <c r="A5375" s="2714"/>
      <c r="B5375" s="371"/>
      <c r="C5375" s="371"/>
      <c r="D5375" s="2716"/>
      <c r="E5375" s="2716" t="s">
        <v>2749</v>
      </c>
      <c r="F5375" s="293"/>
      <c r="G5375" s="3162"/>
      <c r="H5375" s="2490" t="s">
        <v>4506</v>
      </c>
      <c r="I5375" s="2490" t="s">
        <v>4507</v>
      </c>
      <c r="J5375" s="2490" t="s">
        <v>4508</v>
      </c>
      <c r="K5375" s="2491" t="s">
        <v>4509</v>
      </c>
      <c r="L5375" s="2491" t="s">
        <v>2944</v>
      </c>
      <c r="M5375" s="2493" t="s">
        <v>3351</v>
      </c>
      <c r="N5375" s="434"/>
      <c r="O5375" s="1611"/>
      <c r="P5375" s="1611"/>
      <c r="Q5375" s="442"/>
      <c r="R5375" s="443"/>
      <c r="S5375" s="364"/>
      <c r="Z5375" s="609" t="s">
        <v>2105</v>
      </c>
      <c r="AA5375" s="609" t="s">
        <v>19</v>
      </c>
    </row>
    <row r="5376" spans="1:27" ht="18">
      <c r="A5376" s="2714"/>
      <c r="B5376" s="371">
        <v>101</v>
      </c>
      <c r="C5376" s="371"/>
      <c r="D5376" s="2716">
        <f t="shared" ref="D5376:D5385" si="573">IF(OR(G5376="*",G5376="",G5376=0),0,COUNTIF($G$5376:$G$5385,G5376))</f>
        <v>1</v>
      </c>
      <c r="E5376" s="2721">
        <v>1</v>
      </c>
      <c r="F5376" s="293"/>
      <c r="G5376" s="319" t="s">
        <v>10</v>
      </c>
      <c r="H5376" s="309"/>
      <c r="I5376" s="422"/>
      <c r="J5376" s="309"/>
      <c r="K5376" s="320"/>
      <c r="L5376" s="309"/>
      <c r="M5376" s="346"/>
      <c r="N5376" s="439"/>
      <c r="O5376" s="1588">
        <f ca="1">HYPERLINK("#'"&amp;$G$1&amp;"'!"&amp;ADDRESS(ROW(Notes!I17),COLUMN(Notes!I17),4),I17)</f>
        <v>0</v>
      </c>
      <c r="P5376" s="1544">
        <f ca="1">O5376-M5376</f>
        <v>0</v>
      </c>
      <c r="Q5376" s="442"/>
      <c r="R5376" s="443"/>
      <c r="S5376" s="364"/>
      <c r="Z5376" s="609" t="s">
        <v>2105</v>
      </c>
      <c r="AA5376" s="609" t="s">
        <v>19</v>
      </c>
    </row>
    <row r="5377" spans="1:27" ht="18">
      <c r="A5377" s="2714"/>
      <c r="B5377" s="371">
        <v>102</v>
      </c>
      <c r="C5377" s="371"/>
      <c r="D5377" s="2716">
        <f t="shared" si="573"/>
        <v>1</v>
      </c>
      <c r="E5377" s="2721">
        <v>1</v>
      </c>
      <c r="F5377" s="293"/>
      <c r="G5377" s="319" t="s">
        <v>109</v>
      </c>
      <c r="H5377" s="309"/>
      <c r="I5377" s="422"/>
      <c r="J5377" s="309"/>
      <c r="K5377" s="320"/>
      <c r="L5377" s="309"/>
      <c r="M5377" s="346"/>
      <c r="N5377" s="439"/>
      <c r="O5377" s="1588">
        <f ca="1">HYPERLINK("#'"&amp;$G$1&amp;"'!"&amp;ADDRESS(ROW(Notes!M128),COLUMN(Notes!M128),4),M128)</f>
        <v>0</v>
      </c>
      <c r="P5377" s="1544">
        <f t="shared" ref="P5377:P5383" ca="1" si="574">O5377-M5377</f>
        <v>0</v>
      </c>
      <c r="Q5377" s="442"/>
      <c r="R5377" s="443"/>
      <c r="S5377" s="364"/>
      <c r="Z5377" s="609" t="s">
        <v>2105</v>
      </c>
      <c r="AA5377" s="609" t="s">
        <v>19</v>
      </c>
    </row>
    <row r="5378" spans="1:27" ht="18">
      <c r="A5378" s="2714"/>
      <c r="B5378" s="371">
        <v>103</v>
      </c>
      <c r="C5378" s="371"/>
      <c r="D5378" s="2716">
        <f t="shared" si="573"/>
        <v>1</v>
      </c>
      <c r="E5378" s="2721">
        <v>1</v>
      </c>
      <c r="F5378" s="293"/>
      <c r="G5378" s="319" t="s">
        <v>124</v>
      </c>
      <c r="H5378" s="309"/>
      <c r="I5378" s="422"/>
      <c r="J5378" s="309"/>
      <c r="K5378" s="320"/>
      <c r="L5378" s="309"/>
      <c r="M5378" s="346"/>
      <c r="N5378" s="439"/>
      <c r="O5378" s="1588">
        <f ca="1">HYPERLINK("#'"&amp;$G$1&amp;"'!"&amp;ADDRESS(ROW(Notes!I332),COLUMN(Notes!I332),4),I332)</f>
        <v>0</v>
      </c>
      <c r="P5378" s="1544">
        <f t="shared" ca="1" si="574"/>
        <v>0</v>
      </c>
      <c r="Q5378" s="442"/>
      <c r="R5378" s="443"/>
      <c r="S5378" s="364"/>
      <c r="Z5378" s="609" t="s">
        <v>2105</v>
      </c>
      <c r="AA5378" s="609" t="s">
        <v>19</v>
      </c>
    </row>
    <row r="5379" spans="1:27" ht="18">
      <c r="A5379" s="2714"/>
      <c r="B5379" s="371">
        <v>104</v>
      </c>
      <c r="C5379" s="371"/>
      <c r="D5379" s="2716">
        <f t="shared" si="573"/>
        <v>1</v>
      </c>
      <c r="E5379" s="2721">
        <v>1</v>
      </c>
      <c r="F5379" s="293"/>
      <c r="G5379" s="319" t="s">
        <v>201</v>
      </c>
      <c r="H5379" s="309"/>
      <c r="I5379" s="422"/>
      <c r="J5379" s="309"/>
      <c r="K5379" s="320"/>
      <c r="L5379" s="309"/>
      <c r="M5379" s="346"/>
      <c r="N5379" s="439"/>
      <c r="O5379" s="1588">
        <f ca="1">HYPERLINK("#'"&amp;$G$1&amp;"'!"&amp;ADDRESS(ROW(Notes!I1004),COLUMN(Notes!I1004),4),I1004)</f>
        <v>0</v>
      </c>
      <c r="P5379" s="1544">
        <f t="shared" ca="1" si="574"/>
        <v>0</v>
      </c>
      <c r="Q5379" s="442"/>
      <c r="R5379" s="443"/>
      <c r="S5379" s="364"/>
      <c r="Z5379" s="609" t="s">
        <v>2105</v>
      </c>
      <c r="AA5379" s="609" t="s">
        <v>19</v>
      </c>
    </row>
    <row r="5380" spans="1:27" ht="18">
      <c r="A5380" s="2714"/>
      <c r="B5380" s="371">
        <v>105</v>
      </c>
      <c r="C5380" s="371"/>
      <c r="D5380" s="2716">
        <f t="shared" si="573"/>
        <v>1</v>
      </c>
      <c r="E5380" s="2721">
        <v>1</v>
      </c>
      <c r="F5380" s="293"/>
      <c r="G5380" s="319" t="s">
        <v>317</v>
      </c>
      <c r="H5380" s="309"/>
      <c r="I5380" s="422"/>
      <c r="J5380" s="309"/>
      <c r="K5380" s="320"/>
      <c r="L5380" s="309"/>
      <c r="M5380" s="346"/>
      <c r="N5380" s="439"/>
      <c r="O5380" s="1588">
        <f ca="1">HYPERLINK("#'"&amp;$G$1&amp;"'!"&amp;ADDRESS(ROW(Notes!M2216),COLUMN(Notes!M2216),4),M2216)</f>
        <v>0</v>
      </c>
      <c r="P5380" s="1544">
        <f t="shared" ca="1" si="574"/>
        <v>0</v>
      </c>
      <c r="Q5380" s="442"/>
      <c r="R5380" s="443"/>
      <c r="S5380" s="364"/>
      <c r="Z5380" s="609" t="s">
        <v>2105</v>
      </c>
      <c r="AA5380" s="609" t="s">
        <v>19</v>
      </c>
    </row>
    <row r="5381" spans="1:27" ht="18">
      <c r="A5381" s="2714"/>
      <c r="B5381" s="371">
        <v>106</v>
      </c>
      <c r="C5381" s="371"/>
      <c r="D5381" s="2716">
        <f t="shared" si="573"/>
        <v>1</v>
      </c>
      <c r="E5381" s="2721">
        <v>1</v>
      </c>
      <c r="F5381" s="293"/>
      <c r="G5381" s="319" t="s">
        <v>247</v>
      </c>
      <c r="H5381" s="309"/>
      <c r="I5381" s="422"/>
      <c r="J5381" s="309"/>
      <c r="K5381" s="320"/>
      <c r="L5381" s="309"/>
      <c r="M5381" s="346"/>
      <c r="N5381" s="439"/>
      <c r="O5381" s="1588">
        <f ca="1">HYPERLINK("#'"&amp;$G$1&amp;"'!"&amp;ADDRESS(ROW(Notes!I1820),COLUMN(Notes!I1820),4),I1820)</f>
        <v>0</v>
      </c>
      <c r="P5381" s="1544">
        <f t="shared" ca="1" si="574"/>
        <v>0</v>
      </c>
      <c r="Q5381" s="442"/>
      <c r="R5381" s="443"/>
      <c r="S5381" s="364"/>
      <c r="Z5381" s="609" t="s">
        <v>2105</v>
      </c>
      <c r="AA5381" s="609" t="s">
        <v>19</v>
      </c>
    </row>
    <row r="5382" spans="1:27" ht="18">
      <c r="A5382" s="2714"/>
      <c r="B5382" s="371">
        <v>107</v>
      </c>
      <c r="C5382" s="371"/>
      <c r="D5382" s="2716">
        <f t="shared" si="573"/>
        <v>1</v>
      </c>
      <c r="E5382" s="2721">
        <v>1</v>
      </c>
      <c r="F5382" s="293"/>
      <c r="G5382" s="319" t="s">
        <v>237</v>
      </c>
      <c r="H5382" s="309"/>
      <c r="I5382" s="422"/>
      <c r="J5382" s="309"/>
      <c r="K5382" s="320"/>
      <c r="L5382" s="309"/>
      <c r="M5382" s="346"/>
      <c r="N5382" s="439"/>
      <c r="O5382" s="1588">
        <f ca="1">HYPERLINK("#'"&amp;$G$1&amp;"'!"&amp;ADDRESS(ROW(Notes!I1797),COLUMN(Notes!I1797),4),I1797)</f>
        <v>0</v>
      </c>
      <c r="P5382" s="1544">
        <f t="shared" ca="1" si="574"/>
        <v>0</v>
      </c>
      <c r="Q5382" s="442"/>
      <c r="R5382" s="443"/>
      <c r="S5382" s="364"/>
      <c r="Z5382" s="609" t="s">
        <v>2105</v>
      </c>
      <c r="AA5382" s="609" t="s">
        <v>19</v>
      </c>
    </row>
    <row r="5383" spans="1:27" ht="18">
      <c r="A5383" s="2714"/>
      <c r="B5383" s="371">
        <v>108</v>
      </c>
      <c r="C5383" s="371"/>
      <c r="D5383" s="2716">
        <f t="shared" si="573"/>
        <v>1</v>
      </c>
      <c r="E5383" s="2721">
        <v>1</v>
      </c>
      <c r="F5383" s="293"/>
      <c r="G5383" s="319" t="s">
        <v>429</v>
      </c>
      <c r="H5383" s="309"/>
      <c r="I5383" s="422"/>
      <c r="J5383" s="309"/>
      <c r="K5383" s="320"/>
      <c r="L5383" s="309"/>
      <c r="M5383" s="346"/>
      <c r="N5383" s="439"/>
      <c r="O5383" s="1588">
        <f ca="1">HYPERLINK("#'"&amp;$G$1&amp;"'!"&amp;ADDRESS(ROW(Notes!I3316),COLUMN(Notes!I3316),4),I3316)</f>
        <v>0</v>
      </c>
      <c r="P5383" s="1544">
        <f t="shared" ca="1" si="574"/>
        <v>0</v>
      </c>
      <c r="Q5383" s="442"/>
      <c r="R5383" s="443"/>
      <c r="S5383" s="364"/>
      <c r="Z5383" s="609" t="s">
        <v>2105</v>
      </c>
      <c r="AA5383" s="609" t="s">
        <v>19</v>
      </c>
    </row>
    <row r="5384" spans="1:27" ht="18">
      <c r="A5384" s="2714"/>
      <c r="B5384" s="371">
        <v>109</v>
      </c>
      <c r="C5384" s="371" t="s">
        <v>2791</v>
      </c>
      <c r="D5384" s="2716">
        <f t="shared" si="573"/>
        <v>0</v>
      </c>
      <c r="E5384" s="2721">
        <v>1</v>
      </c>
      <c r="F5384" s="293"/>
      <c r="G5384" s="319" t="s">
        <v>2792</v>
      </c>
      <c r="H5384" s="309"/>
      <c r="I5384" s="422"/>
      <c r="J5384" s="309"/>
      <c r="K5384" s="320"/>
      <c r="L5384" s="309"/>
      <c r="M5384" s="346"/>
      <c r="N5384" s="439"/>
      <c r="P5384" s="1544"/>
      <c r="Q5384" s="442"/>
      <c r="R5384" s="443"/>
      <c r="S5384" s="364"/>
      <c r="Z5384" s="609" t="s">
        <v>2105</v>
      </c>
      <c r="AA5384" s="609" t="s">
        <v>19</v>
      </c>
    </row>
    <row r="5385" spans="1:27" ht="18.75" thickBot="1">
      <c r="A5385" s="2714"/>
      <c r="B5385" s="371"/>
      <c r="C5385" s="371"/>
      <c r="D5385" s="2716">
        <f t="shared" si="573"/>
        <v>1</v>
      </c>
      <c r="E5385" s="2721" t="s">
        <v>2751</v>
      </c>
      <c r="F5385" s="293"/>
      <c r="G5385" s="2234" t="s">
        <v>2752</v>
      </c>
      <c r="H5385" s="2325">
        <f t="shared" ref="H5385:M5385" si="575">SUMPRODUCT($E5375:$E5384,H5375:H5384)</f>
        <v>0</v>
      </c>
      <c r="I5385" s="2325">
        <f t="shared" si="575"/>
        <v>0</v>
      </c>
      <c r="J5385" s="2325">
        <f t="shared" si="575"/>
        <v>0</v>
      </c>
      <c r="K5385" s="2325">
        <f t="shared" si="575"/>
        <v>0</v>
      </c>
      <c r="L5385" s="2325">
        <f t="shared" si="575"/>
        <v>0</v>
      </c>
      <c r="M5385" s="2342">
        <f t="shared" si="575"/>
        <v>0</v>
      </c>
      <c r="N5385" s="439"/>
      <c r="P5385" s="1557">
        <f ca="1">SUM(P5376:P5384)</f>
        <v>0</v>
      </c>
      <c r="Q5385" s="442"/>
      <c r="R5385" s="443"/>
      <c r="S5385" s="364"/>
      <c r="Z5385" s="609" t="s">
        <v>2105</v>
      </c>
      <c r="AA5385" s="609" t="s">
        <v>19</v>
      </c>
    </row>
    <row r="5386" spans="1:27" ht="18">
      <c r="A5386" s="2714"/>
      <c r="B5386" s="371"/>
      <c r="C5386" s="371" t="s">
        <v>2755</v>
      </c>
      <c r="D5386" s="2716"/>
      <c r="F5386" s="293"/>
      <c r="G5386" s="376"/>
      <c r="H5386" s="315"/>
      <c r="I5386" s="396"/>
      <c r="J5386" s="315"/>
      <c r="K5386" s="423"/>
      <c r="L5386" s="315"/>
      <c r="M5386" s="315"/>
      <c r="N5386" s="426"/>
      <c r="O5386" s="1585" t="s">
        <v>5495</v>
      </c>
      <c r="P5386" s="425"/>
      <c r="Q5386" s="442"/>
      <c r="R5386" s="443"/>
      <c r="S5386" s="364"/>
      <c r="Z5386" s="609" t="s">
        <v>2105</v>
      </c>
      <c r="AA5386" s="609" t="s">
        <v>19</v>
      </c>
    </row>
    <row r="5387" spans="1:27" ht="24">
      <c r="A5387" s="2714" t="s">
        <v>2120</v>
      </c>
      <c r="B5387" s="371">
        <v>5</v>
      </c>
      <c r="C5387" s="371"/>
      <c r="D5387" s="2716" t="str">
        <f>VLOOKUP($A5387,Sheet_NoteList,2,0)</f>
        <v>本期末各外币资产负债项目的主要外汇风险敞口</v>
      </c>
      <c r="E5387" s="2716" t="s">
        <v>2742</v>
      </c>
      <c r="F5387" s="293"/>
      <c r="G5387" s="372" t="str">
        <f>"("&amp;B5387&amp;")"&amp;D5387</f>
        <v>(5)本期末各外币资产负债项目的主要外汇风险敞口</v>
      </c>
      <c r="H5387" s="1517" t="str">
        <f>$A5387</f>
        <v>9325k</v>
      </c>
      <c r="I5387" s="343" t="s">
        <v>2743</v>
      </c>
      <c r="J5387" s="301" t="s">
        <v>2744</v>
      </c>
      <c r="K5387" s="2210">
        <f>H5419</f>
        <v>0</v>
      </c>
      <c r="L5387" s="349"/>
      <c r="M5387" s="301" t="s">
        <v>2745</v>
      </c>
      <c r="N5387" s="2210">
        <f>I5419</f>
        <v>0</v>
      </c>
      <c r="O5387" s="349"/>
      <c r="P5387" s="301"/>
      <c r="S5387" s="364"/>
      <c r="Z5387" s="609" t="s">
        <v>2105</v>
      </c>
      <c r="AA5387" s="609" t="s">
        <v>19</v>
      </c>
    </row>
    <row r="5388" spans="1:27" ht="0.75" customHeight="1">
      <c r="A5388" s="2714"/>
      <c r="B5388" s="371"/>
      <c r="C5388" s="371"/>
      <c r="D5388" s="2716"/>
      <c r="F5388" s="371"/>
      <c r="G5388" s="405" t="s">
        <v>4517</v>
      </c>
      <c r="H5388" s="371" t="s">
        <v>5388</v>
      </c>
      <c r="I5388" s="371" t="s">
        <v>5530</v>
      </c>
      <c r="J5388" s="612" t="s">
        <v>5531</v>
      </c>
      <c r="K5388" s="1604"/>
      <c r="L5388" s="1604"/>
      <c r="M5388" s="1604"/>
      <c r="N5388" s="1604"/>
      <c r="O5388" s="1604"/>
      <c r="P5388" s="1604"/>
      <c r="Q5388" s="1604"/>
      <c r="R5388" s="1604"/>
      <c r="S5388" s="364"/>
      <c r="Z5388" s="609" t="s">
        <v>2105</v>
      </c>
      <c r="AA5388" s="609" t="s">
        <v>19</v>
      </c>
    </row>
    <row r="5389" spans="1:27" ht="0.75" customHeight="1" thickBot="1">
      <c r="A5389" s="2714"/>
      <c r="B5389" s="371"/>
      <c r="C5389" s="371"/>
      <c r="D5389" s="2716"/>
      <c r="F5389" s="371"/>
      <c r="G5389" s="405"/>
      <c r="H5389" s="371" t="s">
        <v>5462</v>
      </c>
      <c r="I5389" s="371" t="s">
        <v>5528</v>
      </c>
      <c r="J5389" s="612" t="s">
        <v>5529</v>
      </c>
      <c r="K5389" s="1604"/>
      <c r="L5389" s="1604"/>
      <c r="M5389" s="1604"/>
      <c r="N5389" s="1604"/>
      <c r="O5389" s="1604"/>
      <c r="P5389" s="1604"/>
      <c r="Q5389" s="1604"/>
      <c r="R5389" s="1604"/>
      <c r="S5389" s="364"/>
      <c r="Z5389" s="609" t="s">
        <v>2105</v>
      </c>
      <c r="AA5389" s="609" t="s">
        <v>19</v>
      </c>
    </row>
    <row r="5390" spans="1:27" ht="18" customHeight="1">
      <c r="A5390" s="2714"/>
      <c r="B5390" s="371"/>
      <c r="C5390" s="371"/>
      <c r="D5390" s="2716"/>
      <c r="E5390" s="2716" t="s">
        <v>2749</v>
      </c>
      <c r="F5390" s="293"/>
      <c r="G5390" s="3161" t="s">
        <v>47</v>
      </c>
      <c r="H5390" s="3177" t="str">
        <f>$W$2&amp;"余额"</f>
        <v>2019年12月31日余额</v>
      </c>
      <c r="I5390" s="3206"/>
      <c r="J5390" s="3206"/>
      <c r="K5390" s="355" t="s">
        <v>5348</v>
      </c>
      <c r="L5390" s="1604"/>
      <c r="M5390" s="1604"/>
      <c r="N5390" s="1604"/>
      <c r="O5390" s="1604"/>
      <c r="P5390" s="1604"/>
      <c r="Q5390" s="1604"/>
      <c r="R5390" s="1604"/>
      <c r="S5390" s="364"/>
      <c r="Z5390" s="609" t="s">
        <v>2105</v>
      </c>
      <c r="AA5390" s="609" t="s">
        <v>19</v>
      </c>
    </row>
    <row r="5391" spans="1:27" ht="18">
      <c r="A5391" s="2714"/>
      <c r="B5391" s="371"/>
      <c r="C5391" s="371"/>
      <c r="D5391" s="2716"/>
      <c r="E5391" s="2716" t="s">
        <v>2749</v>
      </c>
      <c r="F5391" s="293"/>
      <c r="G5391" s="3162"/>
      <c r="H5391" s="2463" t="s">
        <v>4518</v>
      </c>
      <c r="I5391" s="2463" t="s">
        <v>2459</v>
      </c>
      <c r="J5391" s="1603" t="s">
        <v>5525</v>
      </c>
      <c r="K5391" s="355" t="s">
        <v>5532</v>
      </c>
      <c r="L5391" s="1604"/>
      <c r="M5391" s="1604"/>
      <c r="N5391" s="1604"/>
      <c r="O5391" s="1604"/>
      <c r="P5391" s="1604"/>
      <c r="Q5391" s="1604"/>
      <c r="R5391" s="1604"/>
      <c r="S5391" s="364"/>
      <c r="Z5391" s="609" t="s">
        <v>2105</v>
      </c>
      <c r="AA5391" s="609" t="s">
        <v>19</v>
      </c>
    </row>
    <row r="5392" spans="1:27" ht="18">
      <c r="A5392" s="2714"/>
      <c r="B5392" s="371">
        <v>101</v>
      </c>
      <c r="C5392" s="371"/>
      <c r="D5392" s="2716">
        <f t="shared" ref="D5392:D5419" si="576">IF(OR(G5392="*",G5392="",G5392=0),0,COUNTIF($G$5392:$G$5419,G5392))</f>
        <v>1</v>
      </c>
      <c r="E5392" s="2721" t="s">
        <v>41</v>
      </c>
      <c r="F5392" s="293"/>
      <c r="G5392" s="308" t="s">
        <v>10</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102</v>
      </c>
      <c r="C5393" s="371" t="s">
        <v>2791</v>
      </c>
      <c r="D5393" s="2716">
        <f t="shared" si="576"/>
        <v>1</v>
      </c>
      <c r="E5393" s="2721">
        <v>1</v>
      </c>
      <c r="F5393" s="293"/>
      <c r="G5393" s="1591" t="str">
        <f>"其中："&amp;G5392&amp;"（美元）"</f>
        <v>其中：货币资金（美元）</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103</v>
      </c>
      <c r="C5394" s="371" t="s">
        <v>2791</v>
      </c>
      <c r="D5394" s="2716">
        <f t="shared" si="576"/>
        <v>1</v>
      </c>
      <c r="E5394" s="2721">
        <v>1</v>
      </c>
      <c r="F5394" s="293"/>
      <c r="G5394" s="1591" t="str">
        <f>G5392&amp;"（欧元）"</f>
        <v>货币资金（欧元）</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104</v>
      </c>
      <c r="C5395" s="371" t="s">
        <v>2791</v>
      </c>
      <c r="D5395" s="2716">
        <f t="shared" si="576"/>
        <v>1</v>
      </c>
      <c r="E5395" s="2721">
        <v>1</v>
      </c>
      <c r="F5395" s="293"/>
      <c r="G5395" s="1591" t="str">
        <f>G5392&amp;"（港币）"</f>
        <v>货币资金（港币）</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105</v>
      </c>
      <c r="C5396" s="371" t="s">
        <v>2791</v>
      </c>
      <c r="D5396" s="2716">
        <f t="shared" si="576"/>
        <v>0</v>
      </c>
      <c r="E5396" s="2721">
        <v>1</v>
      </c>
      <c r="F5396" s="293"/>
      <c r="G5396" s="1504" t="s">
        <v>2792</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106</v>
      </c>
      <c r="C5397" s="371"/>
      <c r="D5397" s="2716">
        <f t="shared" si="576"/>
        <v>1</v>
      </c>
      <c r="E5397" s="2721" t="s">
        <v>41</v>
      </c>
      <c r="F5397" s="293"/>
      <c r="G5397" s="308" t="s">
        <v>124</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107</v>
      </c>
      <c r="C5398" s="371" t="s">
        <v>2791</v>
      </c>
      <c r="D5398" s="2716">
        <f t="shared" si="576"/>
        <v>1</v>
      </c>
      <c r="E5398" s="2721">
        <v>1</v>
      </c>
      <c r="F5398" s="293"/>
      <c r="G5398" s="1591" t="str">
        <f>"其中："&amp;G5397&amp;"（美元）"</f>
        <v>其中：应收账款（美元）</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108</v>
      </c>
      <c r="C5399" s="371" t="s">
        <v>2791</v>
      </c>
      <c r="D5399" s="2716">
        <f t="shared" si="576"/>
        <v>1</v>
      </c>
      <c r="E5399" s="2721">
        <v>1</v>
      </c>
      <c r="F5399" s="293"/>
      <c r="G5399" s="1591" t="str">
        <f>G5397&amp;"（欧元）"</f>
        <v>应收账款（欧元）</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109</v>
      </c>
      <c r="C5400" s="371" t="s">
        <v>2791</v>
      </c>
      <c r="D5400" s="2716">
        <f t="shared" si="576"/>
        <v>1</v>
      </c>
      <c r="E5400" s="2721">
        <v>1</v>
      </c>
      <c r="F5400" s="293"/>
      <c r="G5400" s="1591" t="str">
        <f>G5397&amp;"（港币）"</f>
        <v>应收账款（港币）</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110</v>
      </c>
      <c r="C5401" s="371" t="s">
        <v>2791</v>
      </c>
      <c r="D5401" s="2716">
        <f t="shared" si="576"/>
        <v>0</v>
      </c>
      <c r="E5401" s="2721">
        <v>1</v>
      </c>
      <c r="F5401" s="293"/>
      <c r="G5401" s="1504" t="s">
        <v>2792</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111</v>
      </c>
      <c r="C5402" s="371"/>
      <c r="D5402" s="2716">
        <f t="shared" si="576"/>
        <v>1</v>
      </c>
      <c r="E5402" s="2721" t="s">
        <v>41</v>
      </c>
      <c r="F5402" s="293"/>
      <c r="G5402" s="308" t="s">
        <v>201</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112</v>
      </c>
      <c r="C5403" s="371" t="s">
        <v>2791</v>
      </c>
      <c r="D5403" s="2716">
        <f t="shared" si="576"/>
        <v>1</v>
      </c>
      <c r="E5403" s="2721">
        <v>1</v>
      </c>
      <c r="F5403" s="293"/>
      <c r="G5403" s="1591" t="str">
        <f>"其中："&amp;G5402&amp;"（美元）"</f>
        <v>其中：其他应收款（美元）</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113</v>
      </c>
      <c r="C5404" s="371" t="s">
        <v>2791</v>
      </c>
      <c r="D5404" s="2716">
        <f t="shared" si="576"/>
        <v>1</v>
      </c>
      <c r="E5404" s="2721">
        <v>1</v>
      </c>
      <c r="F5404" s="293"/>
      <c r="G5404" s="1591" t="str">
        <f>G5402&amp;"（欧元）"</f>
        <v>其他应收款（欧元）</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114</v>
      </c>
      <c r="C5405" s="371" t="s">
        <v>2791</v>
      </c>
      <c r="D5405" s="2716">
        <f t="shared" si="576"/>
        <v>1</v>
      </c>
      <c r="E5405" s="2721">
        <v>1</v>
      </c>
      <c r="F5405" s="293"/>
      <c r="G5405" s="1591" t="str">
        <f>G5402&amp;"（港币）"</f>
        <v>其他应收款（港币）</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115</v>
      </c>
      <c r="C5406" s="371" t="s">
        <v>2791</v>
      </c>
      <c r="D5406" s="2716">
        <f t="shared" si="576"/>
        <v>0</v>
      </c>
      <c r="E5406" s="2721">
        <v>1</v>
      </c>
      <c r="F5406" s="293"/>
      <c r="G5406" s="1504" t="s">
        <v>2792</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116</v>
      </c>
      <c r="C5407" s="371"/>
      <c r="D5407" s="2716">
        <f t="shared" si="576"/>
        <v>1</v>
      </c>
      <c r="E5407" s="2721" t="s">
        <v>41</v>
      </c>
      <c r="F5407" s="293"/>
      <c r="G5407" s="308" t="s">
        <v>546</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117</v>
      </c>
      <c r="C5408" s="371" t="s">
        <v>2791</v>
      </c>
      <c r="D5408" s="2716">
        <f t="shared" si="576"/>
        <v>1</v>
      </c>
      <c r="E5408" s="2721">
        <v>1</v>
      </c>
      <c r="F5408" s="293"/>
      <c r="G5408" s="1591" t="str">
        <f>"其中："&amp;G5407&amp;"（美元）"</f>
        <v>其中：长期借款（美元）</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118</v>
      </c>
      <c r="C5409" s="371" t="s">
        <v>2791</v>
      </c>
      <c r="D5409" s="2716">
        <f t="shared" si="576"/>
        <v>1</v>
      </c>
      <c r="E5409" s="2721">
        <v>1</v>
      </c>
      <c r="F5409" s="293"/>
      <c r="G5409" s="1591" t="str">
        <f>G5407&amp;"（欧元）"</f>
        <v>长期借款（欧元）</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119</v>
      </c>
      <c r="C5410" s="371" t="s">
        <v>2791</v>
      </c>
      <c r="D5410" s="2716">
        <f t="shared" si="576"/>
        <v>1</v>
      </c>
      <c r="E5410" s="2721">
        <v>1</v>
      </c>
      <c r="F5410" s="293"/>
      <c r="G5410" s="1591" t="str">
        <f>G5407&amp;"（港币）"</f>
        <v>长期借款（港币）</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120</v>
      </c>
      <c r="C5411" s="371" t="s">
        <v>2791</v>
      </c>
      <c r="D5411" s="2716">
        <f t="shared" si="576"/>
        <v>0</v>
      </c>
      <c r="E5411" s="2721">
        <v>1</v>
      </c>
      <c r="F5411" s="293"/>
      <c r="G5411" s="1504" t="s">
        <v>2792</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121</v>
      </c>
      <c r="C5412" s="371"/>
      <c r="D5412" s="2716">
        <f t="shared" si="576"/>
        <v>1</v>
      </c>
      <c r="E5412" s="2721" t="s">
        <v>41</v>
      </c>
      <c r="F5412" s="293"/>
      <c r="G5412" s="308" t="s">
        <v>550</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122</v>
      </c>
      <c r="C5413" s="371" t="s">
        <v>2791</v>
      </c>
      <c r="D5413" s="2716">
        <f t="shared" si="576"/>
        <v>1</v>
      </c>
      <c r="E5413" s="2721">
        <v>1</v>
      </c>
      <c r="F5413" s="293"/>
      <c r="G5413" s="1591" t="str">
        <f>"其中："&amp;G5412&amp;"（美元）"</f>
        <v>其中：应付债券（美元）</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123</v>
      </c>
      <c r="C5414" s="371" t="s">
        <v>2791</v>
      </c>
      <c r="D5414" s="2716">
        <f t="shared" si="576"/>
        <v>1</v>
      </c>
      <c r="E5414" s="2721">
        <v>1</v>
      </c>
      <c r="F5414" s="293"/>
      <c r="G5414" s="1591" t="str">
        <f>G5412&amp;"（欧元）"</f>
        <v>应付债券（欧元）</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124</v>
      </c>
      <c r="C5415" s="371" t="s">
        <v>2791</v>
      </c>
      <c r="D5415" s="2716">
        <f t="shared" si="576"/>
        <v>1</v>
      </c>
      <c r="E5415" s="2721">
        <v>1</v>
      </c>
      <c r="F5415" s="293"/>
      <c r="G5415" s="1591" t="str">
        <f>G5412&amp;"（港币）"</f>
        <v>应付债券（港币）</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125</v>
      </c>
      <c r="C5416" s="371" t="s">
        <v>2791</v>
      </c>
      <c r="D5416" s="2716">
        <f t="shared" si="576"/>
        <v>0</v>
      </c>
      <c r="E5416" s="2721">
        <v>1</v>
      </c>
      <c r="F5416" s="293"/>
      <c r="G5416" s="1504" t="s">
        <v>2792</v>
      </c>
      <c r="H5416" s="309"/>
      <c r="I5416" s="422"/>
      <c r="J5416" s="388"/>
      <c r="K5416" s="1604"/>
      <c r="L5416" s="1604"/>
      <c r="M5416" s="1604"/>
      <c r="N5416" s="1604"/>
      <c r="O5416" s="1604"/>
      <c r="P5416" s="1604"/>
      <c r="Q5416" s="1604"/>
      <c r="R5416" s="1604"/>
      <c r="S5416" s="364"/>
      <c r="Z5416" s="609" t="s">
        <v>2105</v>
      </c>
      <c r="AA5416" s="609" t="s">
        <v>19</v>
      </c>
    </row>
    <row r="5417" spans="1:27" ht="18">
      <c r="A5417" s="2714"/>
      <c r="B5417" s="371">
        <v>126</v>
      </c>
      <c r="C5417" s="371" t="s">
        <v>2791</v>
      </c>
      <c r="D5417" s="2716">
        <f t="shared" si="576"/>
        <v>0</v>
      </c>
      <c r="E5417" s="2721">
        <v>1</v>
      </c>
      <c r="F5417" s="293"/>
      <c r="G5417" s="1591" t="s">
        <v>2792</v>
      </c>
      <c r="H5417" s="309"/>
      <c r="I5417" s="422"/>
      <c r="J5417" s="388"/>
      <c r="K5417" s="1604"/>
      <c r="L5417" s="1604"/>
      <c r="M5417" s="1604"/>
      <c r="N5417" s="1604"/>
      <c r="O5417" s="1604"/>
      <c r="P5417" s="1604"/>
      <c r="Q5417" s="1604"/>
      <c r="R5417" s="1604"/>
      <c r="S5417" s="364"/>
      <c r="Z5417" s="609" t="s">
        <v>2105</v>
      </c>
      <c r="AA5417" s="609" t="s">
        <v>19</v>
      </c>
    </row>
    <row r="5418" spans="1:27" ht="18">
      <c r="A5418" s="2714"/>
      <c r="B5418" s="371">
        <v>127</v>
      </c>
      <c r="C5418" s="371" t="s">
        <v>6533</v>
      </c>
      <c r="D5418" s="2716">
        <f t="shared" si="576"/>
        <v>0</v>
      </c>
      <c r="E5418" s="2721">
        <v>1</v>
      </c>
      <c r="F5418" s="293"/>
      <c r="G5418" s="1591" t="s">
        <v>5146</v>
      </c>
      <c r="H5418" s="309"/>
      <c r="I5418" s="422"/>
      <c r="J5418" s="388"/>
      <c r="K5418" s="1604"/>
      <c r="L5418" s="1604"/>
      <c r="M5418" s="1604"/>
      <c r="N5418" s="1604"/>
      <c r="O5418" s="1604"/>
      <c r="P5418" s="1604"/>
      <c r="Q5418" s="1604"/>
      <c r="R5418" s="1604"/>
      <c r="S5418" s="364"/>
      <c r="Z5418" s="609" t="s">
        <v>2105</v>
      </c>
      <c r="AA5418" s="609" t="s">
        <v>19</v>
      </c>
    </row>
    <row r="5419" spans="1:27" ht="18.75" thickBot="1">
      <c r="A5419" s="2714"/>
      <c r="B5419" s="371"/>
      <c r="C5419" s="371"/>
      <c r="D5419" s="2716">
        <f t="shared" si="576"/>
        <v>1</v>
      </c>
      <c r="E5419" s="2721" t="s">
        <v>2751</v>
      </c>
      <c r="F5419" s="293"/>
      <c r="G5419" s="2234" t="s">
        <v>2752</v>
      </c>
      <c r="H5419" s="2430"/>
      <c r="I5419" s="2235">
        <f>SUMPRODUCT($E5391:$E5418,I5391:I5418)</f>
        <v>0</v>
      </c>
      <c r="J5419" s="2488"/>
      <c r="K5419" s="1604"/>
      <c r="L5419" s="1604"/>
      <c r="M5419" s="1604"/>
      <c r="N5419" s="1604"/>
      <c r="O5419" s="1604"/>
      <c r="P5419" s="1604"/>
      <c r="Q5419" s="1604"/>
      <c r="R5419" s="1604"/>
      <c r="S5419" s="364"/>
      <c r="Z5419" s="609" t="s">
        <v>2105</v>
      </c>
      <c r="AA5419" s="609" t="s">
        <v>19</v>
      </c>
    </row>
    <row r="5420" spans="1:27" ht="18">
      <c r="A5420" s="2714"/>
      <c r="B5420" s="371"/>
      <c r="C5420" s="371" t="s">
        <v>2755</v>
      </c>
      <c r="D5420" s="2716"/>
      <c r="F5420" s="293"/>
      <c r="G5420" s="376"/>
      <c r="H5420" s="315"/>
      <c r="I5420" s="396"/>
      <c r="J5420" s="427"/>
      <c r="K5420" s="1604"/>
      <c r="L5420" s="1604"/>
      <c r="M5420" s="1604"/>
      <c r="N5420" s="1604"/>
      <c r="O5420" s="1604"/>
      <c r="P5420" s="1604"/>
      <c r="Q5420" s="1604"/>
      <c r="R5420" s="1604"/>
      <c r="S5420" s="364"/>
      <c r="Z5420" s="609" t="s">
        <v>2105</v>
      </c>
      <c r="AA5420" s="609" t="s">
        <v>19</v>
      </c>
    </row>
    <row r="5421" spans="1:27" ht="24">
      <c r="A5421" s="2714" t="s">
        <v>2125</v>
      </c>
      <c r="B5421" s="371">
        <v>5</v>
      </c>
      <c r="C5421" s="371"/>
      <c r="D5421" s="2716" t="str">
        <f>VLOOKUP($A5421,Sheet_NoteList,2,0)</f>
        <v>上期末各外币资产负债项目的主要外汇风险敞口</v>
      </c>
      <c r="E5421" s="2716" t="s">
        <v>2742</v>
      </c>
      <c r="F5421" s="293"/>
      <c r="G5421" s="372" t="str">
        <f>"("&amp;B5421&amp;")"&amp;D5421</f>
        <v>(5)上期末各外币资产负债项目的主要外汇风险敞口</v>
      </c>
      <c r="H5421" s="1517" t="str">
        <f>$A5421</f>
        <v>9325m</v>
      </c>
      <c r="I5421" s="343" t="s">
        <v>2743</v>
      </c>
      <c r="J5421" s="301" t="s">
        <v>2744</v>
      </c>
      <c r="K5421" s="2210">
        <f>H5453</f>
        <v>0</v>
      </c>
      <c r="L5421" s="349"/>
      <c r="M5421" s="301" t="s">
        <v>2745</v>
      </c>
      <c r="N5421" s="2210">
        <f>I5453</f>
        <v>0</v>
      </c>
      <c r="O5421" s="349"/>
      <c r="P5421" s="301"/>
      <c r="S5421" s="364"/>
      <c r="Z5421" s="609" t="s">
        <v>2105</v>
      </c>
      <c r="AA5421" s="609" t="s">
        <v>19</v>
      </c>
    </row>
    <row r="5422" spans="1:27" ht="0.75" customHeight="1">
      <c r="A5422" s="2714"/>
      <c r="B5422" s="371"/>
      <c r="C5422" s="371"/>
      <c r="D5422" s="2716"/>
      <c r="F5422" s="371"/>
      <c r="G5422" s="405" t="s">
        <v>4519</v>
      </c>
      <c r="H5422" s="371" t="s">
        <v>5537</v>
      </c>
      <c r="I5422" s="371" t="s">
        <v>5534</v>
      </c>
      <c r="J5422" s="612" t="s">
        <v>5535</v>
      </c>
      <c r="K5422" s="428"/>
      <c r="L5422" s="428"/>
      <c r="M5422" s="433"/>
      <c r="N5422" s="428"/>
      <c r="O5422" s="428"/>
      <c r="P5422" s="433"/>
      <c r="Q5422" s="442"/>
      <c r="R5422" s="443"/>
      <c r="S5422" s="364"/>
      <c r="Z5422" s="609" t="s">
        <v>2105</v>
      </c>
      <c r="AA5422" s="609" t="s">
        <v>19</v>
      </c>
    </row>
    <row r="5423" spans="1:27" ht="0.75" customHeight="1" thickBot="1">
      <c r="A5423" s="2714"/>
      <c r="B5423" s="371"/>
      <c r="C5423" s="371"/>
      <c r="D5423" s="2716"/>
      <c r="F5423" s="371"/>
      <c r="G5423" s="405"/>
      <c r="H5423" s="371" t="s">
        <v>5526</v>
      </c>
      <c r="I5423" s="371" t="s">
        <v>5527</v>
      </c>
      <c r="J5423" s="612" t="s">
        <v>5533</v>
      </c>
      <c r="K5423" s="428"/>
      <c r="L5423" s="428"/>
      <c r="M5423" s="433"/>
      <c r="N5423" s="428"/>
      <c r="O5423" s="428"/>
      <c r="P5423" s="433"/>
      <c r="Q5423" s="442"/>
      <c r="R5423" s="443"/>
      <c r="S5423" s="364"/>
      <c r="Z5423" s="609" t="s">
        <v>2105</v>
      </c>
      <c r="AA5423" s="609" t="s">
        <v>19</v>
      </c>
    </row>
    <row r="5424" spans="1:27" ht="18" customHeight="1">
      <c r="A5424" s="2714"/>
      <c r="B5424" s="371"/>
      <c r="C5424" s="371"/>
      <c r="D5424" s="2716"/>
      <c r="E5424" s="2716" t="s">
        <v>2749</v>
      </c>
      <c r="F5424" s="293"/>
      <c r="G5424" s="3161" t="s">
        <v>47</v>
      </c>
      <c r="H5424" s="3177" t="str">
        <f>$W$3&amp;"余额"</f>
        <v>2018年12月31日余额</v>
      </c>
      <c r="I5424" s="3206"/>
      <c r="J5424" s="3206"/>
      <c r="K5424" s="355" t="s">
        <v>5348</v>
      </c>
      <c r="L5424" s="1512"/>
      <c r="M5424" s="1512"/>
      <c r="N5424" s="428"/>
      <c r="O5424" s="428"/>
      <c r="P5424" s="433"/>
      <c r="Q5424" s="442"/>
      <c r="R5424" s="443"/>
      <c r="S5424" s="364"/>
      <c r="Z5424" s="609" t="s">
        <v>2105</v>
      </c>
      <c r="AA5424" s="609" t="s">
        <v>19</v>
      </c>
    </row>
    <row r="5425" spans="1:27" ht="18">
      <c r="A5425" s="2714"/>
      <c r="B5425" s="371"/>
      <c r="C5425" s="371"/>
      <c r="D5425" s="2716"/>
      <c r="E5425" s="2716" t="s">
        <v>2749</v>
      </c>
      <c r="F5425" s="293"/>
      <c r="G5425" s="3162"/>
      <c r="H5425" s="2463" t="s">
        <v>4518</v>
      </c>
      <c r="I5425" s="2463" t="s">
        <v>2459</v>
      </c>
      <c r="J5425" s="1603" t="s">
        <v>5536</v>
      </c>
      <c r="K5425" s="355" t="s">
        <v>5532</v>
      </c>
      <c r="L5425" s="434"/>
      <c r="M5425" s="1511"/>
      <c r="N5425" s="434"/>
      <c r="O5425" s="434"/>
      <c r="P5425" s="435"/>
      <c r="Q5425" s="442"/>
      <c r="R5425" s="443"/>
      <c r="S5425" s="364"/>
      <c r="Z5425" s="609" t="s">
        <v>2105</v>
      </c>
      <c r="AA5425" s="609" t="s">
        <v>19</v>
      </c>
    </row>
    <row r="5426" spans="1:27" ht="18">
      <c r="A5426" s="2714"/>
      <c r="B5426" s="371">
        <v>101</v>
      </c>
      <c r="C5426" s="371"/>
      <c r="D5426" s="2716">
        <f t="shared" ref="D5426:D5453" si="577">IF(OR(G5426="*",G5426="",G5426=0),0,COUNTIF($G$5426:$G$5453,G5426))</f>
        <v>1</v>
      </c>
      <c r="E5426" s="2721" t="s">
        <v>41</v>
      </c>
      <c r="F5426" s="293"/>
      <c r="G5426" s="308" t="s">
        <v>10</v>
      </c>
      <c r="H5426" s="309"/>
      <c r="I5426" s="422"/>
      <c r="J5426" s="388"/>
      <c r="L5426" s="438"/>
      <c r="M5426" s="438"/>
      <c r="N5426" s="439"/>
      <c r="O5426" s="437"/>
      <c r="P5426" s="438"/>
      <c r="Q5426" s="442"/>
      <c r="R5426" s="443"/>
      <c r="S5426" s="364"/>
      <c r="Z5426" s="609" t="s">
        <v>2105</v>
      </c>
      <c r="AA5426" s="609" t="s">
        <v>19</v>
      </c>
    </row>
    <row r="5427" spans="1:27" ht="18">
      <c r="A5427" s="2714"/>
      <c r="B5427" s="371">
        <v>102</v>
      </c>
      <c r="C5427" s="371" t="s">
        <v>2791</v>
      </c>
      <c r="D5427" s="2716">
        <f t="shared" si="577"/>
        <v>1</v>
      </c>
      <c r="E5427" s="2721">
        <v>1</v>
      </c>
      <c r="F5427" s="293"/>
      <c r="G5427" s="1599" t="str">
        <f>"其中："&amp;G5426&amp;"（美元）"</f>
        <v>其中：货币资金（美元）</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103</v>
      </c>
      <c r="C5428" s="371" t="s">
        <v>2791</v>
      </c>
      <c r="D5428" s="2716">
        <f t="shared" si="577"/>
        <v>1</v>
      </c>
      <c r="E5428" s="2721">
        <v>1</v>
      </c>
      <c r="F5428" s="293"/>
      <c r="G5428" s="1599" t="str">
        <f>G5426&amp;"（欧元）"</f>
        <v>货币资金（欧元）</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104</v>
      </c>
      <c r="C5429" s="371" t="s">
        <v>2791</v>
      </c>
      <c r="D5429" s="2716">
        <f t="shared" si="577"/>
        <v>1</v>
      </c>
      <c r="E5429" s="2721">
        <v>1</v>
      </c>
      <c r="F5429" s="293"/>
      <c r="G5429" s="1599" t="str">
        <f>G5426&amp;"（港币）"</f>
        <v>货币资金（港币）</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105</v>
      </c>
      <c r="C5430" s="371" t="s">
        <v>2791</v>
      </c>
      <c r="D5430" s="2716">
        <f t="shared" si="577"/>
        <v>0</v>
      </c>
      <c r="E5430" s="2721">
        <v>1</v>
      </c>
      <c r="F5430" s="293"/>
      <c r="G5430" s="1504" t="s">
        <v>2792</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106</v>
      </c>
      <c r="C5431" s="371"/>
      <c r="D5431" s="2716">
        <f t="shared" si="577"/>
        <v>1</v>
      </c>
      <c r="E5431" s="2721" t="s">
        <v>41</v>
      </c>
      <c r="F5431" s="293"/>
      <c r="G5431" s="308" t="s">
        <v>124</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107</v>
      </c>
      <c r="C5432" s="371" t="s">
        <v>2791</v>
      </c>
      <c r="D5432" s="2716">
        <f t="shared" si="577"/>
        <v>1</v>
      </c>
      <c r="E5432" s="2721">
        <v>1</v>
      </c>
      <c r="F5432" s="293"/>
      <c r="G5432" s="1599" t="str">
        <f>"其中："&amp;G5431&amp;"（美元）"</f>
        <v>其中：应收账款（美元）</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108</v>
      </c>
      <c r="C5433" s="371" t="s">
        <v>2791</v>
      </c>
      <c r="D5433" s="2716">
        <f t="shared" si="577"/>
        <v>1</v>
      </c>
      <c r="E5433" s="2721">
        <v>1</v>
      </c>
      <c r="F5433" s="293"/>
      <c r="G5433" s="1599" t="str">
        <f>G5431&amp;"（欧元）"</f>
        <v>应收账款（欧元）</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109</v>
      </c>
      <c r="C5434" s="371" t="s">
        <v>2791</v>
      </c>
      <c r="D5434" s="2716">
        <f t="shared" si="577"/>
        <v>1</v>
      </c>
      <c r="E5434" s="2721">
        <v>1</v>
      </c>
      <c r="F5434" s="293"/>
      <c r="G5434" s="1599" t="str">
        <f>G5431&amp;"（港币）"</f>
        <v>应收账款（港币）</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110</v>
      </c>
      <c r="C5435" s="371" t="s">
        <v>2791</v>
      </c>
      <c r="D5435" s="2716">
        <f t="shared" si="577"/>
        <v>0</v>
      </c>
      <c r="E5435" s="2721">
        <v>1</v>
      </c>
      <c r="F5435" s="293"/>
      <c r="G5435" s="1504" t="s">
        <v>2792</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111</v>
      </c>
      <c r="C5436" s="371"/>
      <c r="D5436" s="2716">
        <f t="shared" si="577"/>
        <v>1</v>
      </c>
      <c r="E5436" s="2721" t="s">
        <v>41</v>
      </c>
      <c r="F5436" s="293"/>
      <c r="G5436" s="308" t="s">
        <v>201</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112</v>
      </c>
      <c r="C5437" s="371" t="s">
        <v>2791</v>
      </c>
      <c r="D5437" s="2716">
        <f t="shared" si="577"/>
        <v>1</v>
      </c>
      <c r="E5437" s="2721">
        <v>1</v>
      </c>
      <c r="F5437" s="293"/>
      <c r="G5437" s="1599" t="str">
        <f>"其中："&amp;G5436&amp;"（美元）"</f>
        <v>其中：其他应收款（美元）</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113</v>
      </c>
      <c r="C5438" s="371" t="s">
        <v>2791</v>
      </c>
      <c r="D5438" s="2716">
        <f t="shared" si="577"/>
        <v>1</v>
      </c>
      <c r="E5438" s="2721">
        <v>1</v>
      </c>
      <c r="F5438" s="293"/>
      <c r="G5438" s="1599" t="str">
        <f>G5436&amp;"（欧元）"</f>
        <v>其他应收款（欧元）</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114</v>
      </c>
      <c r="C5439" s="371" t="s">
        <v>2791</v>
      </c>
      <c r="D5439" s="2716">
        <f t="shared" si="577"/>
        <v>1</v>
      </c>
      <c r="E5439" s="2721">
        <v>1</v>
      </c>
      <c r="F5439" s="293"/>
      <c r="G5439" s="1599" t="str">
        <f>G5436&amp;"（港币）"</f>
        <v>其他应收款（港币）</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115</v>
      </c>
      <c r="C5440" s="371" t="s">
        <v>2791</v>
      </c>
      <c r="D5440" s="2716">
        <f t="shared" si="577"/>
        <v>0</v>
      </c>
      <c r="E5440" s="2721">
        <v>1</v>
      </c>
      <c r="F5440" s="293"/>
      <c r="G5440" s="1504" t="s">
        <v>2792</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116</v>
      </c>
      <c r="C5441" s="371"/>
      <c r="D5441" s="2716">
        <f t="shared" si="577"/>
        <v>1</v>
      </c>
      <c r="E5441" s="2721" t="s">
        <v>41</v>
      </c>
      <c r="F5441" s="293"/>
      <c r="G5441" s="308" t="s">
        <v>546</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117</v>
      </c>
      <c r="C5442" s="371" t="s">
        <v>2791</v>
      </c>
      <c r="D5442" s="2716">
        <f t="shared" si="577"/>
        <v>1</v>
      </c>
      <c r="E5442" s="2721">
        <v>1</v>
      </c>
      <c r="F5442" s="293"/>
      <c r="G5442" s="1599" t="str">
        <f>"其中："&amp;G5441&amp;"（美元）"</f>
        <v>其中：长期借款（美元）</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118</v>
      </c>
      <c r="C5443" s="371" t="s">
        <v>2791</v>
      </c>
      <c r="D5443" s="2716">
        <f t="shared" si="577"/>
        <v>1</v>
      </c>
      <c r="E5443" s="2721">
        <v>1</v>
      </c>
      <c r="F5443" s="293"/>
      <c r="G5443" s="1599" t="str">
        <f>G5441&amp;"（欧元）"</f>
        <v>长期借款（欧元）</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119</v>
      </c>
      <c r="C5444" s="371" t="s">
        <v>2791</v>
      </c>
      <c r="D5444" s="2716">
        <f t="shared" si="577"/>
        <v>1</v>
      </c>
      <c r="E5444" s="2721">
        <v>1</v>
      </c>
      <c r="F5444" s="293"/>
      <c r="G5444" s="1599" t="str">
        <f>G5441&amp;"（港币）"</f>
        <v>长期借款（港币）</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120</v>
      </c>
      <c r="C5445" s="371" t="s">
        <v>2791</v>
      </c>
      <c r="D5445" s="2716">
        <f t="shared" si="577"/>
        <v>0</v>
      </c>
      <c r="E5445" s="2721">
        <v>1</v>
      </c>
      <c r="F5445" s="293"/>
      <c r="G5445" s="1504" t="s">
        <v>2792</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121</v>
      </c>
      <c r="C5446" s="371"/>
      <c r="D5446" s="2716">
        <f t="shared" si="577"/>
        <v>1</v>
      </c>
      <c r="E5446" s="2721" t="s">
        <v>41</v>
      </c>
      <c r="F5446" s="293"/>
      <c r="G5446" s="308" t="s">
        <v>550</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122</v>
      </c>
      <c r="C5447" s="371" t="s">
        <v>2791</v>
      </c>
      <c r="D5447" s="2716">
        <f t="shared" si="577"/>
        <v>1</v>
      </c>
      <c r="E5447" s="2721">
        <v>1</v>
      </c>
      <c r="F5447" s="293"/>
      <c r="G5447" s="1599" t="str">
        <f>"其中："&amp;G5446&amp;"（美元）"</f>
        <v>其中：应付债券（美元）</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123</v>
      </c>
      <c r="C5448" s="371" t="s">
        <v>2791</v>
      </c>
      <c r="D5448" s="2716">
        <f t="shared" si="577"/>
        <v>1</v>
      </c>
      <c r="E5448" s="2721">
        <v>1</v>
      </c>
      <c r="F5448" s="293"/>
      <c r="G5448" s="1599" t="str">
        <f>G5446&amp;"（欧元）"</f>
        <v>应付债券（欧元）</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124</v>
      </c>
      <c r="C5449" s="371" t="s">
        <v>2791</v>
      </c>
      <c r="D5449" s="2716">
        <f t="shared" si="577"/>
        <v>1</v>
      </c>
      <c r="E5449" s="2721">
        <v>1</v>
      </c>
      <c r="F5449" s="293"/>
      <c r="G5449" s="1599" t="str">
        <f>G5446&amp;"（港币）"</f>
        <v>应付债券（港币）</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125</v>
      </c>
      <c r="C5450" s="371" t="s">
        <v>2791</v>
      </c>
      <c r="D5450" s="2716">
        <f t="shared" si="577"/>
        <v>0</v>
      </c>
      <c r="E5450" s="2721">
        <v>1</v>
      </c>
      <c r="F5450" s="293"/>
      <c r="G5450" s="1504" t="s">
        <v>2792</v>
      </c>
      <c r="H5450" s="309"/>
      <c r="I5450" s="422"/>
      <c r="J5450" s="388"/>
      <c r="K5450" s="520"/>
      <c r="L5450" s="438"/>
      <c r="M5450" s="438"/>
      <c r="N5450" s="439"/>
      <c r="O5450" s="437"/>
      <c r="P5450" s="438"/>
      <c r="Q5450" s="442"/>
      <c r="R5450" s="443"/>
      <c r="S5450" s="364"/>
      <c r="Z5450" s="609" t="s">
        <v>2105</v>
      </c>
      <c r="AA5450" s="609" t="s">
        <v>19</v>
      </c>
    </row>
    <row r="5451" spans="1:27" ht="18">
      <c r="A5451" s="2714"/>
      <c r="B5451" s="371">
        <v>126</v>
      </c>
      <c r="C5451" s="371" t="s">
        <v>2791</v>
      </c>
      <c r="D5451" s="2716">
        <f t="shared" si="577"/>
        <v>0</v>
      </c>
      <c r="E5451" s="2721">
        <v>1</v>
      </c>
      <c r="F5451" s="293"/>
      <c r="G5451" s="1599" t="s">
        <v>2792</v>
      </c>
      <c r="H5451" s="309"/>
      <c r="I5451" s="422"/>
      <c r="J5451" s="388"/>
      <c r="K5451" s="520"/>
      <c r="L5451" s="438"/>
      <c r="M5451" s="438"/>
      <c r="N5451" s="439"/>
      <c r="O5451" s="437"/>
      <c r="P5451" s="438"/>
      <c r="Q5451" s="442"/>
      <c r="R5451" s="443"/>
      <c r="S5451" s="364"/>
      <c r="Z5451" s="609" t="s">
        <v>2105</v>
      </c>
      <c r="AA5451" s="609" t="s">
        <v>19</v>
      </c>
    </row>
    <row r="5452" spans="1:27" ht="18">
      <c r="A5452" s="2714"/>
      <c r="B5452" s="371">
        <v>127</v>
      </c>
      <c r="C5452" s="371" t="s">
        <v>6533</v>
      </c>
      <c r="D5452" s="2716">
        <f t="shared" si="577"/>
        <v>0</v>
      </c>
      <c r="E5452" s="2721">
        <v>1</v>
      </c>
      <c r="F5452" s="293"/>
      <c r="G5452" s="1599" t="s">
        <v>5146</v>
      </c>
      <c r="H5452" s="309"/>
      <c r="I5452" s="422"/>
      <c r="J5452" s="388"/>
      <c r="K5452" s="520"/>
      <c r="L5452" s="438"/>
      <c r="M5452" s="438"/>
      <c r="N5452" s="439"/>
      <c r="O5452" s="437"/>
      <c r="P5452" s="438"/>
      <c r="Q5452" s="442"/>
      <c r="R5452" s="443"/>
      <c r="S5452" s="364"/>
      <c r="Z5452" s="609" t="s">
        <v>2105</v>
      </c>
      <c r="AA5452" s="609" t="s">
        <v>19</v>
      </c>
    </row>
    <row r="5453" spans="1:27" ht="18.75" thickBot="1">
      <c r="A5453" s="2714"/>
      <c r="B5453" s="371"/>
      <c r="C5453" s="371"/>
      <c r="D5453" s="2716">
        <f t="shared" si="577"/>
        <v>1</v>
      </c>
      <c r="E5453" s="2721" t="s">
        <v>2751</v>
      </c>
      <c r="F5453" s="293"/>
      <c r="G5453" s="2234" t="s">
        <v>2752</v>
      </c>
      <c r="H5453" s="2430"/>
      <c r="I5453" s="2235">
        <f>SUMPRODUCT($E5425:$E5452,I5425:I5452)</f>
        <v>0</v>
      </c>
      <c r="J5453" s="2489"/>
      <c r="K5453" s="1508"/>
      <c r="L5453" s="1508"/>
      <c r="M5453" s="1508"/>
      <c r="N5453" s="439"/>
      <c r="O5453" s="437"/>
      <c r="P5453" s="440"/>
      <c r="Q5453" s="442"/>
      <c r="R5453" s="443"/>
      <c r="S5453" s="364"/>
      <c r="Z5453" s="609" t="s">
        <v>2105</v>
      </c>
      <c r="AA5453" s="609" t="s">
        <v>19</v>
      </c>
    </row>
    <row r="5454" spans="1:27" ht="18">
      <c r="A5454" s="2714"/>
      <c r="B5454" s="371"/>
      <c r="C5454" s="371" t="s">
        <v>2755</v>
      </c>
      <c r="D5454" s="2716"/>
      <c r="F5454" s="293"/>
      <c r="G5454" s="376"/>
      <c r="H5454" s="315"/>
      <c r="I5454" s="396"/>
      <c r="J5454" s="427"/>
      <c r="K5454" s="577"/>
      <c r="L5454" s="425"/>
      <c r="M5454" s="425"/>
      <c r="N5454" s="426"/>
      <c r="O5454" s="427"/>
      <c r="P5454" s="425"/>
      <c r="Q5454" s="442"/>
      <c r="R5454" s="443"/>
      <c r="S5454" s="364"/>
      <c r="Z5454" s="609" t="s">
        <v>2105</v>
      </c>
      <c r="AA5454" s="609" t="s">
        <v>19</v>
      </c>
    </row>
    <row r="5455" spans="1:27" ht="18">
      <c r="A5455" s="2714">
        <v>9331</v>
      </c>
      <c r="B5455" s="371" t="s">
        <v>6570</v>
      </c>
      <c r="C5455" s="2716" t="str">
        <f>VLOOKUP($A5455,Sheet_Items,2,0)</f>
        <v>公允价值的披露</v>
      </c>
      <c r="D5455" s="371"/>
      <c r="E5455" s="2716" t="s">
        <v>2739</v>
      </c>
      <c r="F5455" s="294"/>
      <c r="G5455" s="305" t="str">
        <f>B5455&amp;" "&amp;C5455</f>
        <v>九 公允价值的披露</v>
      </c>
      <c r="H5455" s="306"/>
      <c r="I5455" s="306"/>
      <c r="J5455" s="306"/>
      <c r="K5455" s="539"/>
      <c r="L5455" s="342"/>
      <c r="M5455" s="306"/>
      <c r="N5455" s="539"/>
      <c r="O5455" s="306"/>
      <c r="P5455" s="301"/>
      <c r="S5455" s="364"/>
      <c r="Z5455" s="609" t="s">
        <v>2129</v>
      </c>
      <c r="AA5455" s="609"/>
    </row>
    <row r="5456" spans="1:27" ht="24">
      <c r="A5456" s="2714" t="s">
        <v>2127</v>
      </c>
      <c r="B5456" s="371">
        <v>1</v>
      </c>
      <c r="C5456" s="371"/>
      <c r="D5456" s="2716" t="str">
        <f>VLOOKUP($A5456,Sheet_NoteList,2,0)</f>
        <v>以公允价值计量的资产和负债的公允价值</v>
      </c>
      <c r="E5456" s="2716" t="s">
        <v>2742</v>
      </c>
      <c r="F5456" s="294"/>
      <c r="G5456" s="372" t="str">
        <f>"("&amp;B5456&amp;")"&amp;D5456</f>
        <v>(1)以公允价值计量的资产和负债的公允价值</v>
      </c>
      <c r="H5456" s="1517" t="str">
        <f>$A5456</f>
        <v>9331a</v>
      </c>
      <c r="I5456" s="343" t="s">
        <v>2743</v>
      </c>
      <c r="J5456" s="301"/>
      <c r="K5456" s="3081"/>
      <c r="L5456" s="315"/>
      <c r="M5456" s="301"/>
      <c r="N5456" s="3081"/>
      <c r="O5456" s="315"/>
      <c r="P5456" s="301"/>
      <c r="S5456" s="364"/>
      <c r="Z5456" s="609" t="s">
        <v>2129</v>
      </c>
      <c r="AA5456" s="609"/>
    </row>
    <row r="5457" spans="1:27" ht="0.75" customHeight="1">
      <c r="A5457" s="2714"/>
      <c r="B5457" s="371"/>
      <c r="C5457" s="371"/>
      <c r="D5457" s="371"/>
      <c r="E5457" s="586"/>
      <c r="F5457" s="586"/>
      <c r="G5457" s="586" t="s">
        <v>4523</v>
      </c>
      <c r="H5457" s="371" t="s">
        <v>2833</v>
      </c>
      <c r="I5457" s="371" t="s">
        <v>4524</v>
      </c>
      <c r="J5457" s="371" t="s">
        <v>4525</v>
      </c>
      <c r="K5457" s="371" t="s">
        <v>4526</v>
      </c>
      <c r="M5457" s="291"/>
      <c r="N5457" s="291"/>
      <c r="O5457" s="291"/>
      <c r="P5457" s="291"/>
      <c r="S5457" s="364"/>
      <c r="Z5457" s="609" t="s">
        <v>2129</v>
      </c>
      <c r="AA5457" s="609"/>
    </row>
    <row r="5458" spans="1:27" ht="0.75" customHeight="1" thickBot="1">
      <c r="A5458" s="2714"/>
      <c r="B5458" s="371"/>
      <c r="C5458" s="371"/>
      <c r="D5458" s="371"/>
      <c r="E5458" s="586"/>
      <c r="F5458" s="586"/>
      <c r="G5458" s="586"/>
      <c r="H5458" s="371" t="s">
        <v>4527</v>
      </c>
      <c r="I5458" s="371" t="s">
        <v>4528</v>
      </c>
      <c r="J5458" s="371" t="s">
        <v>4529</v>
      </c>
      <c r="K5458" s="371" t="s">
        <v>4530</v>
      </c>
      <c r="M5458" s="291"/>
      <c r="N5458" s="291"/>
      <c r="O5458" s="291"/>
      <c r="P5458" s="291"/>
      <c r="S5458" s="364"/>
      <c r="Z5458" s="609" t="s">
        <v>2129</v>
      </c>
      <c r="AA5458" s="609"/>
    </row>
    <row r="5459" spans="1:27" ht="24" customHeight="1">
      <c r="A5459" s="2714"/>
      <c r="B5459" s="371"/>
      <c r="C5459" s="371"/>
      <c r="D5459" s="371"/>
      <c r="E5459" s="586" t="s">
        <v>2749</v>
      </c>
      <c r="F5459" s="414"/>
      <c r="G5459" s="3145" t="s">
        <v>47</v>
      </c>
      <c r="H5459" s="3207" t="str">
        <f>$W$2&amp;"公允价值"</f>
        <v>2019年12月31日公允价值</v>
      </c>
      <c r="I5459" s="3207"/>
      <c r="J5459" s="3207"/>
      <c r="K5459" s="3208"/>
      <c r="L5459" s="355" t="s">
        <v>5349</v>
      </c>
      <c r="M5459" s="291"/>
      <c r="N5459" s="291"/>
      <c r="O5459" s="291"/>
      <c r="P5459" s="291"/>
      <c r="S5459" s="364"/>
      <c r="Z5459" s="609" t="s">
        <v>2129</v>
      </c>
      <c r="AA5459" s="609"/>
    </row>
    <row r="5460" spans="1:27" ht="24">
      <c r="A5460" s="2714"/>
      <c r="B5460" s="371"/>
      <c r="C5460" s="371"/>
      <c r="D5460" s="371"/>
      <c r="E5460" s="586" t="s">
        <v>2749</v>
      </c>
      <c r="F5460" s="363"/>
      <c r="G5460" s="3146"/>
      <c r="H5460" s="2584" t="s">
        <v>4531</v>
      </c>
      <c r="I5460" s="2584" t="s">
        <v>4532</v>
      </c>
      <c r="J5460" s="2584" t="s">
        <v>4533</v>
      </c>
      <c r="K5460" s="2588" t="s">
        <v>3351</v>
      </c>
      <c r="M5460" s="291"/>
      <c r="N5460" s="291"/>
      <c r="O5460" s="291"/>
      <c r="P5460" s="291"/>
      <c r="S5460" s="364"/>
      <c r="Z5460" s="609" t="s">
        <v>2129</v>
      </c>
      <c r="AA5460" s="609"/>
    </row>
    <row r="5461" spans="1:27" ht="18">
      <c r="A5461" s="2714"/>
      <c r="B5461" s="371">
        <v>101</v>
      </c>
      <c r="C5461" s="371"/>
      <c r="D5461" s="2716">
        <f t="shared" ref="D5461:D5500" si="578">IF(OR(G5461="*",G5461="",G5461=0),0,COUNTIF($G$5461:$G$5500,G5461))</f>
        <v>1</v>
      </c>
      <c r="E5461" s="2721" t="s">
        <v>41</v>
      </c>
      <c r="F5461" s="294"/>
      <c r="G5461" s="632" t="s">
        <v>4534</v>
      </c>
      <c r="H5461" s="2275"/>
      <c r="I5461" s="2275"/>
      <c r="J5461" s="2275"/>
      <c r="K5461" s="2296"/>
      <c r="M5461" s="291"/>
      <c r="N5461" s="291"/>
      <c r="O5461" s="291"/>
      <c r="P5461" s="291"/>
      <c r="S5461" s="364"/>
      <c r="Z5461" s="609" t="s">
        <v>2129</v>
      </c>
      <c r="AA5461" s="609"/>
    </row>
    <row r="5462" spans="1:27" ht="18">
      <c r="A5462" s="2714"/>
      <c r="B5462" s="371">
        <v>102</v>
      </c>
      <c r="C5462" s="371"/>
      <c r="D5462" s="2716">
        <f t="shared" si="578"/>
        <v>1</v>
      </c>
      <c r="E5462" s="2721">
        <v>1</v>
      </c>
      <c r="F5462" s="294"/>
      <c r="G5462" s="1474" t="s">
        <v>4535</v>
      </c>
      <c r="H5462" s="1476">
        <f>SUM(H5463,H5468)</f>
        <v>0</v>
      </c>
      <c r="I5462" s="1476">
        <f>SUM(I5463,I5468)</f>
        <v>0</v>
      </c>
      <c r="J5462" s="1476">
        <f>SUM(J5463,J5468)</f>
        <v>0</v>
      </c>
      <c r="K5462" s="1477">
        <f>SUM(H5462:J5462)</f>
        <v>0</v>
      </c>
      <c r="M5462" s="291"/>
      <c r="N5462" s="291"/>
      <c r="O5462" s="291"/>
      <c r="P5462" s="291"/>
      <c r="S5462" s="364"/>
      <c r="Z5462" s="609" t="s">
        <v>2129</v>
      </c>
      <c r="AA5462" s="609"/>
    </row>
    <row r="5463" spans="1:27" ht="24">
      <c r="A5463" s="2714"/>
      <c r="B5463" s="371">
        <v>103</v>
      </c>
      <c r="C5463" s="371"/>
      <c r="D5463" s="2716">
        <f t="shared" si="578"/>
        <v>1</v>
      </c>
      <c r="E5463" s="2721">
        <v>1</v>
      </c>
      <c r="F5463" s="294"/>
      <c r="G5463" s="1474" t="s">
        <v>4536</v>
      </c>
      <c r="H5463" s="1476">
        <f>SUM(H5464:H5467)</f>
        <v>0</v>
      </c>
      <c r="I5463" s="1476">
        <f>SUM(I5464:I5467)</f>
        <v>0</v>
      </c>
      <c r="J5463" s="1476">
        <f>SUM(J5464:J5467)</f>
        <v>0</v>
      </c>
      <c r="K5463" s="1477">
        <f t="shared" ref="K5463:K5499" si="579">SUM(H5463:J5463)</f>
        <v>0</v>
      </c>
      <c r="M5463" s="291"/>
      <c r="N5463" s="291"/>
      <c r="O5463" s="291"/>
      <c r="P5463" s="291"/>
      <c r="S5463" s="364"/>
      <c r="Z5463" s="609" t="s">
        <v>2129</v>
      </c>
      <c r="AA5463" s="609"/>
    </row>
    <row r="5464" spans="1:27" ht="18">
      <c r="A5464" s="2714"/>
      <c r="B5464" s="371">
        <v>104</v>
      </c>
      <c r="C5464" s="371"/>
      <c r="D5464" s="2716">
        <f t="shared" si="578"/>
        <v>1</v>
      </c>
      <c r="E5464" s="2721">
        <v>1</v>
      </c>
      <c r="F5464" s="294"/>
      <c r="G5464" s="1474" t="s">
        <v>6161</v>
      </c>
      <c r="H5464" s="2275"/>
      <c r="I5464" s="2275"/>
      <c r="J5464" s="2275"/>
      <c r="K5464" s="1477">
        <f t="shared" si="579"/>
        <v>0</v>
      </c>
      <c r="M5464" s="291"/>
      <c r="N5464" s="291"/>
      <c r="O5464" s="291"/>
      <c r="P5464" s="291"/>
      <c r="S5464" s="364"/>
      <c r="Z5464" s="609" t="s">
        <v>2129</v>
      </c>
      <c r="AA5464" s="609"/>
    </row>
    <row r="5465" spans="1:27" ht="18">
      <c r="A5465" s="2714"/>
      <c r="B5465" s="371">
        <v>105</v>
      </c>
      <c r="C5465" s="371"/>
      <c r="D5465" s="2716">
        <f t="shared" si="578"/>
        <v>1</v>
      </c>
      <c r="E5465" s="2721">
        <v>1</v>
      </c>
      <c r="F5465" s="294"/>
      <c r="G5465" s="1474" t="s">
        <v>4537</v>
      </c>
      <c r="H5465" s="2275"/>
      <c r="I5465" s="2275"/>
      <c r="J5465" s="2275"/>
      <c r="K5465" s="1477">
        <f t="shared" si="579"/>
        <v>0</v>
      </c>
      <c r="M5465" s="291"/>
      <c r="N5465" s="291"/>
      <c r="O5465" s="291"/>
      <c r="P5465" s="291"/>
      <c r="S5465" s="364"/>
      <c r="Z5465" s="609" t="s">
        <v>2129</v>
      </c>
      <c r="AA5465" s="609"/>
    </row>
    <row r="5466" spans="1:27" ht="18">
      <c r="A5466" s="2714"/>
      <c r="B5466" s="371">
        <v>106</v>
      </c>
      <c r="C5466" s="371"/>
      <c r="D5466" s="2716">
        <f t="shared" si="578"/>
        <v>1</v>
      </c>
      <c r="E5466" s="2721">
        <v>1</v>
      </c>
      <c r="F5466" s="294"/>
      <c r="G5466" s="1474" t="s">
        <v>4538</v>
      </c>
      <c r="H5466" s="2275"/>
      <c r="I5466" s="2275"/>
      <c r="J5466" s="2275"/>
      <c r="K5466" s="1477">
        <f t="shared" ref="K5466" si="580">SUM(H5466:J5466)</f>
        <v>0</v>
      </c>
      <c r="M5466" s="291"/>
      <c r="N5466" s="291"/>
      <c r="O5466" s="291"/>
      <c r="P5466" s="291"/>
      <c r="S5466" s="364"/>
      <c r="Z5466" s="609" t="s">
        <v>2129</v>
      </c>
      <c r="AA5466" s="609"/>
    </row>
    <row r="5467" spans="1:27" ht="18">
      <c r="A5467" s="2714"/>
      <c r="B5467" s="371">
        <v>107</v>
      </c>
      <c r="C5467" s="371" t="s">
        <v>2791</v>
      </c>
      <c r="D5467" s="2716">
        <f t="shared" si="578"/>
        <v>0</v>
      </c>
      <c r="E5467" s="2721">
        <v>1</v>
      </c>
      <c r="F5467" s="294"/>
      <c r="G5467" s="2589" t="s">
        <v>6168</v>
      </c>
      <c r="H5467" s="2275"/>
      <c r="I5467" s="2275"/>
      <c r="J5467" s="2275"/>
      <c r="K5467" s="1477">
        <f t="shared" si="579"/>
        <v>0</v>
      </c>
      <c r="M5467" s="291"/>
      <c r="N5467" s="291"/>
      <c r="O5467" s="291"/>
      <c r="P5467" s="291"/>
      <c r="S5467" s="364"/>
      <c r="Z5467" s="609" t="s">
        <v>2129</v>
      </c>
      <c r="AA5467" s="609"/>
    </row>
    <row r="5468" spans="1:27" ht="24">
      <c r="A5468" s="2714"/>
      <c r="B5468" s="371">
        <v>108</v>
      </c>
      <c r="C5468" s="371"/>
      <c r="D5468" s="2716">
        <f t="shared" si="578"/>
        <v>1</v>
      </c>
      <c r="E5468" s="2721">
        <v>1</v>
      </c>
      <c r="F5468" s="294"/>
      <c r="G5468" s="1474" t="s">
        <v>4539</v>
      </c>
      <c r="H5468" s="1476">
        <f>SUM(H5469:H5471)</f>
        <v>0</v>
      </c>
      <c r="I5468" s="1476">
        <f>SUM(I5469:I5471)</f>
        <v>0</v>
      </c>
      <c r="J5468" s="1476">
        <f>SUM(J5469:J5471)</f>
        <v>0</v>
      </c>
      <c r="K5468" s="1477">
        <f t="shared" si="579"/>
        <v>0</v>
      </c>
      <c r="M5468" s="291"/>
      <c r="N5468" s="291"/>
      <c r="O5468" s="291"/>
      <c r="P5468" s="291"/>
      <c r="S5468" s="364"/>
      <c r="Z5468" s="609" t="s">
        <v>2129</v>
      </c>
      <c r="AA5468" s="609"/>
    </row>
    <row r="5469" spans="1:27" ht="18">
      <c r="A5469" s="2714"/>
      <c r="B5469" s="371">
        <v>109</v>
      </c>
      <c r="C5469" s="371"/>
      <c r="D5469" s="2716">
        <f t="shared" si="578"/>
        <v>1</v>
      </c>
      <c r="E5469" s="2721">
        <v>1</v>
      </c>
      <c r="F5469" s="294"/>
      <c r="G5469" s="1474" t="s">
        <v>6162</v>
      </c>
      <c r="H5469" s="2275"/>
      <c r="I5469" s="2275"/>
      <c r="J5469" s="2275"/>
      <c r="K5469" s="1477">
        <f t="shared" si="579"/>
        <v>0</v>
      </c>
      <c r="M5469" s="291"/>
      <c r="N5469" s="291"/>
      <c r="O5469" s="291"/>
      <c r="P5469" s="291"/>
      <c r="S5469" s="364"/>
      <c r="Z5469" s="609" t="s">
        <v>2129</v>
      </c>
      <c r="AA5469" s="609"/>
    </row>
    <row r="5470" spans="1:27" ht="18">
      <c r="A5470" s="2714"/>
      <c r="B5470" s="371">
        <v>110</v>
      </c>
      <c r="C5470" s="371"/>
      <c r="D5470" s="2716">
        <f t="shared" si="578"/>
        <v>1</v>
      </c>
      <c r="E5470" s="2721">
        <v>1</v>
      </c>
      <c r="F5470" s="294"/>
      <c r="G5470" s="1474" t="s">
        <v>4540</v>
      </c>
      <c r="H5470" s="2275"/>
      <c r="I5470" s="2275"/>
      <c r="J5470" s="2275"/>
      <c r="K5470" s="1477">
        <f t="shared" ref="K5470" si="581">SUM(H5470:J5470)</f>
        <v>0</v>
      </c>
      <c r="M5470" s="291"/>
      <c r="N5470" s="291"/>
      <c r="O5470" s="291"/>
      <c r="P5470" s="291"/>
      <c r="S5470" s="364"/>
      <c r="Z5470" s="609" t="s">
        <v>2129</v>
      </c>
      <c r="AA5470" s="609"/>
    </row>
    <row r="5471" spans="1:27" ht="18">
      <c r="A5471" s="2714"/>
      <c r="B5471" s="371">
        <v>111</v>
      </c>
      <c r="C5471" s="371" t="s">
        <v>2791</v>
      </c>
      <c r="D5471" s="2716">
        <f t="shared" si="578"/>
        <v>0</v>
      </c>
      <c r="E5471" s="2721">
        <v>1</v>
      </c>
      <c r="F5471" s="294"/>
      <c r="G5471" s="2589" t="s">
        <v>6168</v>
      </c>
      <c r="H5471" s="2275"/>
      <c r="I5471" s="2275"/>
      <c r="J5471" s="2275"/>
      <c r="K5471" s="1477">
        <f t="shared" si="579"/>
        <v>0</v>
      </c>
      <c r="M5471" s="291"/>
      <c r="N5471" s="291"/>
      <c r="O5471" s="291"/>
      <c r="P5471" s="291"/>
      <c r="S5471" s="364"/>
      <c r="Z5471" s="609" t="s">
        <v>2129</v>
      </c>
      <c r="AA5471" s="609"/>
    </row>
    <row r="5472" spans="1:27" ht="18">
      <c r="A5472" s="2714"/>
      <c r="B5472" s="371">
        <v>112</v>
      </c>
      <c r="C5472" s="371"/>
      <c r="D5472" s="2716">
        <f t="shared" si="578"/>
        <v>1</v>
      </c>
      <c r="E5472" s="2721">
        <v>1</v>
      </c>
      <c r="F5472" s="294"/>
      <c r="G5472" s="1474" t="s">
        <v>4541</v>
      </c>
      <c r="H5472" s="2275"/>
      <c r="I5472" s="2275"/>
      <c r="J5472" s="2275"/>
      <c r="K5472" s="1477">
        <f t="shared" si="579"/>
        <v>0</v>
      </c>
      <c r="M5472" s="291"/>
      <c r="N5472" s="291"/>
      <c r="O5472" s="291"/>
      <c r="P5472" s="291"/>
      <c r="S5472" s="364"/>
      <c r="Z5472" s="609" t="s">
        <v>2129</v>
      </c>
      <c r="AA5472" s="609"/>
    </row>
    <row r="5473" spans="1:27" ht="18">
      <c r="A5473" s="2714"/>
      <c r="B5473" s="371">
        <v>113</v>
      </c>
      <c r="C5473" s="371"/>
      <c r="D5473" s="2716">
        <f t="shared" si="578"/>
        <v>1</v>
      </c>
      <c r="E5473" s="2721">
        <v>1</v>
      </c>
      <c r="F5473" s="294"/>
      <c r="G5473" s="1474" t="s">
        <v>4542</v>
      </c>
      <c r="H5473" s="2275"/>
      <c r="I5473" s="2275"/>
      <c r="J5473" s="2275"/>
      <c r="K5473" s="1477">
        <f t="shared" si="579"/>
        <v>0</v>
      </c>
      <c r="M5473" s="291"/>
      <c r="N5473" s="291"/>
      <c r="O5473" s="291"/>
      <c r="P5473" s="291"/>
      <c r="S5473" s="364"/>
      <c r="Z5473" s="609" t="s">
        <v>2129</v>
      </c>
      <c r="AA5473" s="609"/>
    </row>
    <row r="5474" spans="1:27" ht="18">
      <c r="A5474" s="2714"/>
      <c r="B5474" s="371">
        <v>114</v>
      </c>
      <c r="C5474" s="371"/>
      <c r="D5474" s="2716">
        <f t="shared" si="578"/>
        <v>1</v>
      </c>
      <c r="E5474" s="2721">
        <v>1</v>
      </c>
      <c r="F5474" s="294"/>
      <c r="G5474" s="1474" t="s">
        <v>4543</v>
      </c>
      <c r="H5474" s="2275"/>
      <c r="I5474" s="2275"/>
      <c r="J5474" s="2275"/>
      <c r="K5474" s="1477">
        <f t="shared" si="579"/>
        <v>0</v>
      </c>
      <c r="M5474" s="291"/>
      <c r="N5474" s="291"/>
      <c r="O5474" s="291"/>
      <c r="P5474" s="291"/>
      <c r="S5474" s="364"/>
      <c r="Z5474" s="609" t="s">
        <v>2129</v>
      </c>
      <c r="AA5474" s="609"/>
    </row>
    <row r="5475" spans="1:27" ht="18">
      <c r="A5475" s="2714"/>
      <c r="B5475" s="371">
        <v>115</v>
      </c>
      <c r="C5475" s="371"/>
      <c r="D5475" s="2716">
        <f t="shared" si="578"/>
        <v>1</v>
      </c>
      <c r="E5475" s="2721">
        <v>1</v>
      </c>
      <c r="F5475" s="294"/>
      <c r="G5475" s="1474" t="s">
        <v>4544</v>
      </c>
      <c r="H5475" s="1476">
        <f>SUM(H5476:H5479)</f>
        <v>0</v>
      </c>
      <c r="I5475" s="1476">
        <f t="shared" ref="I5475:J5475" si="582">SUM(I5476:I5479)</f>
        <v>0</v>
      </c>
      <c r="J5475" s="1476">
        <f t="shared" si="582"/>
        <v>0</v>
      </c>
      <c r="K5475" s="1477">
        <f t="shared" si="579"/>
        <v>0</v>
      </c>
      <c r="M5475" s="291"/>
      <c r="N5475" s="291"/>
      <c r="O5475" s="291"/>
      <c r="P5475" s="291"/>
      <c r="S5475" s="364"/>
      <c r="Z5475" s="609" t="s">
        <v>2129</v>
      </c>
      <c r="AA5475" s="609"/>
    </row>
    <row r="5476" spans="1:27" ht="18">
      <c r="A5476" s="2714"/>
      <c r="B5476" s="371">
        <v>116</v>
      </c>
      <c r="C5476" s="371"/>
      <c r="D5476" s="2716">
        <f t="shared" si="578"/>
        <v>1</v>
      </c>
      <c r="E5476" s="2721">
        <v>1</v>
      </c>
      <c r="F5476" s="294"/>
      <c r="G5476" s="1474" t="s">
        <v>4545</v>
      </c>
      <c r="H5476" s="2275"/>
      <c r="I5476" s="2275"/>
      <c r="J5476" s="2275"/>
      <c r="K5476" s="1477">
        <f t="shared" si="579"/>
        <v>0</v>
      </c>
      <c r="M5476" s="291"/>
      <c r="N5476" s="291"/>
      <c r="O5476" s="291"/>
      <c r="P5476" s="291"/>
      <c r="S5476" s="364"/>
      <c r="Z5476" s="609" t="s">
        <v>2129</v>
      </c>
      <c r="AA5476" s="609"/>
    </row>
    <row r="5477" spans="1:27" ht="18">
      <c r="A5477" s="2714"/>
      <c r="B5477" s="371">
        <v>117</v>
      </c>
      <c r="C5477" s="371"/>
      <c r="D5477" s="2716">
        <f t="shared" si="578"/>
        <v>1</v>
      </c>
      <c r="E5477" s="2721">
        <v>1</v>
      </c>
      <c r="F5477" s="294"/>
      <c r="G5477" s="1474" t="s">
        <v>4546</v>
      </c>
      <c r="H5477" s="2275"/>
      <c r="I5477" s="2275"/>
      <c r="J5477" s="2275"/>
      <c r="K5477" s="1477">
        <f t="shared" si="579"/>
        <v>0</v>
      </c>
      <c r="M5477" s="291"/>
      <c r="N5477" s="291"/>
      <c r="O5477" s="291"/>
      <c r="P5477" s="291"/>
      <c r="S5477" s="364"/>
      <c r="Z5477" s="609" t="s">
        <v>2129</v>
      </c>
      <c r="AA5477" s="609"/>
    </row>
    <row r="5478" spans="1:27" ht="24">
      <c r="A5478" s="2714"/>
      <c r="B5478" s="371">
        <v>118</v>
      </c>
      <c r="C5478" s="371"/>
      <c r="D5478" s="2716">
        <f t="shared" si="578"/>
        <v>1</v>
      </c>
      <c r="E5478" s="2721">
        <v>1</v>
      </c>
      <c r="F5478" s="294"/>
      <c r="G5478" s="1474" t="s">
        <v>4547</v>
      </c>
      <c r="H5478" s="2275"/>
      <c r="I5478" s="2275"/>
      <c r="J5478" s="2275"/>
      <c r="K5478" s="1477">
        <f t="shared" ref="K5478" si="583">SUM(H5478:J5478)</f>
        <v>0</v>
      </c>
      <c r="M5478" s="291"/>
      <c r="N5478" s="291"/>
      <c r="O5478" s="291"/>
      <c r="P5478" s="291"/>
      <c r="S5478" s="364"/>
      <c r="Z5478" s="609" t="s">
        <v>2129</v>
      </c>
      <c r="AA5478" s="609"/>
    </row>
    <row r="5479" spans="1:27" ht="18">
      <c r="A5479" s="2714"/>
      <c r="B5479" s="371">
        <v>119</v>
      </c>
      <c r="C5479" s="371" t="s">
        <v>2791</v>
      </c>
      <c r="D5479" s="2716">
        <f t="shared" si="578"/>
        <v>0</v>
      </c>
      <c r="E5479" s="2721">
        <v>1</v>
      </c>
      <c r="F5479" s="294"/>
      <c r="G5479" s="2589" t="s">
        <v>6168</v>
      </c>
      <c r="H5479" s="2275"/>
      <c r="I5479" s="2275"/>
      <c r="J5479" s="2275"/>
      <c r="K5479" s="1477">
        <f t="shared" si="579"/>
        <v>0</v>
      </c>
      <c r="M5479" s="291"/>
      <c r="N5479" s="291"/>
      <c r="O5479" s="291"/>
      <c r="P5479" s="291"/>
      <c r="S5479" s="364"/>
      <c r="Z5479" s="609" t="s">
        <v>2129</v>
      </c>
      <c r="AA5479" s="609"/>
    </row>
    <row r="5480" spans="1:27" ht="18">
      <c r="A5480" s="2714"/>
      <c r="B5480" s="371">
        <v>120</v>
      </c>
      <c r="C5480" s="371"/>
      <c r="D5480" s="2716">
        <f t="shared" si="578"/>
        <v>1</v>
      </c>
      <c r="E5480" s="2721">
        <v>1</v>
      </c>
      <c r="F5480" s="294"/>
      <c r="G5480" s="1474" t="s">
        <v>4548</v>
      </c>
      <c r="H5480" s="1476">
        <f>SUM(H5481:H5482)</f>
        <v>0</v>
      </c>
      <c r="I5480" s="1476">
        <f t="shared" ref="I5480:J5480" si="584">SUM(I5481:I5482)</f>
        <v>0</v>
      </c>
      <c r="J5480" s="1476">
        <f t="shared" si="584"/>
        <v>0</v>
      </c>
      <c r="K5480" s="1477">
        <f t="shared" si="579"/>
        <v>0</v>
      </c>
      <c r="M5480" s="291"/>
      <c r="N5480" s="291"/>
      <c r="O5480" s="291"/>
      <c r="P5480" s="291"/>
      <c r="S5480" s="364"/>
      <c r="Z5480" s="609" t="s">
        <v>2129</v>
      </c>
      <c r="AA5480" s="609"/>
    </row>
    <row r="5481" spans="1:27" ht="18">
      <c r="A5481" s="2714"/>
      <c r="B5481" s="371">
        <v>121</v>
      </c>
      <c r="C5481" s="371"/>
      <c r="D5481" s="2716">
        <f t="shared" si="578"/>
        <v>1</v>
      </c>
      <c r="E5481" s="2721">
        <v>1</v>
      </c>
      <c r="F5481" s="294"/>
      <c r="G5481" s="1474" t="s">
        <v>4549</v>
      </c>
      <c r="H5481" s="2275"/>
      <c r="I5481" s="2275"/>
      <c r="J5481" s="2275"/>
      <c r="K5481" s="1477">
        <f t="shared" si="579"/>
        <v>0</v>
      </c>
      <c r="M5481" s="291"/>
      <c r="N5481" s="291"/>
      <c r="O5481" s="291"/>
      <c r="P5481" s="291"/>
      <c r="S5481" s="364"/>
      <c r="Z5481" s="609" t="s">
        <v>2129</v>
      </c>
      <c r="AA5481" s="609"/>
    </row>
    <row r="5482" spans="1:27" ht="18">
      <c r="A5482" s="2714"/>
      <c r="B5482" s="371">
        <v>122</v>
      </c>
      <c r="C5482" s="371"/>
      <c r="D5482" s="2716">
        <f t="shared" si="578"/>
        <v>1</v>
      </c>
      <c r="E5482" s="2721">
        <v>1</v>
      </c>
      <c r="F5482" s="294"/>
      <c r="G5482" s="1474" t="s">
        <v>4550</v>
      </c>
      <c r="H5482" s="2275"/>
      <c r="I5482" s="2275"/>
      <c r="J5482" s="2275"/>
      <c r="K5482" s="1477">
        <f t="shared" si="579"/>
        <v>0</v>
      </c>
      <c r="M5482" s="291"/>
      <c r="N5482" s="291"/>
      <c r="O5482" s="291"/>
      <c r="P5482" s="291"/>
      <c r="S5482" s="364"/>
      <c r="Z5482" s="609" t="s">
        <v>2129</v>
      </c>
      <c r="AA5482" s="609"/>
    </row>
    <row r="5483" spans="1:27" ht="18">
      <c r="A5483" s="2714"/>
      <c r="B5483" s="371">
        <v>123</v>
      </c>
      <c r="C5483" s="371" t="s">
        <v>2791</v>
      </c>
      <c r="D5483" s="2716">
        <f t="shared" si="578"/>
        <v>0</v>
      </c>
      <c r="E5483" s="2721">
        <v>1</v>
      </c>
      <c r="F5483" s="294"/>
      <c r="G5483" s="2589" t="s">
        <v>2792</v>
      </c>
      <c r="H5483" s="2275"/>
      <c r="I5483" s="2275"/>
      <c r="J5483" s="2275"/>
      <c r="K5483" s="1477">
        <f t="shared" si="579"/>
        <v>0</v>
      </c>
      <c r="M5483" s="291"/>
      <c r="N5483" s="291"/>
      <c r="O5483" s="291"/>
      <c r="P5483" s="291"/>
      <c r="S5483" s="364"/>
      <c r="Z5483" s="609" t="s">
        <v>2129</v>
      </c>
      <c r="AA5483" s="609"/>
    </row>
    <row r="5484" spans="1:27" ht="24">
      <c r="A5484" s="2714"/>
      <c r="B5484" s="371">
        <v>124</v>
      </c>
      <c r="C5484" s="371"/>
      <c r="D5484" s="2716">
        <f t="shared" si="578"/>
        <v>1</v>
      </c>
      <c r="E5484" s="2721">
        <v>1</v>
      </c>
      <c r="F5484" s="294"/>
      <c r="G5484" s="1474" t="s">
        <v>4551</v>
      </c>
      <c r="H5484" s="1476">
        <f>SUM(H5480,H5475,H5462,H5472,H5473,H5474)</f>
        <v>0</v>
      </c>
      <c r="I5484" s="1476">
        <f t="shared" ref="I5484:J5484" si="585">SUM(I5480,I5475,I5462,I5472,I5473,I5474)</f>
        <v>0</v>
      </c>
      <c r="J5484" s="1476">
        <f t="shared" si="585"/>
        <v>0</v>
      </c>
      <c r="K5484" s="1477">
        <f t="shared" si="579"/>
        <v>0</v>
      </c>
      <c r="M5484" s="291"/>
      <c r="N5484" s="291"/>
      <c r="O5484" s="291"/>
      <c r="P5484" s="291"/>
      <c r="S5484" s="364"/>
      <c r="Z5484" s="609" t="s">
        <v>2129</v>
      </c>
      <c r="AA5484" s="609"/>
    </row>
    <row r="5485" spans="1:27" ht="18">
      <c r="A5485" s="2714"/>
      <c r="B5485" s="371">
        <v>125</v>
      </c>
      <c r="C5485" s="371"/>
      <c r="D5485" s="2716">
        <f t="shared" si="578"/>
        <v>1</v>
      </c>
      <c r="E5485" s="2721">
        <v>1</v>
      </c>
      <c r="F5485" s="294"/>
      <c r="G5485" s="1474" t="s">
        <v>4552</v>
      </c>
      <c r="H5485" s="1476">
        <f>SUM(H5486:H5489)</f>
        <v>0</v>
      </c>
      <c r="I5485" s="1476">
        <f t="shared" ref="I5485:J5485" si="586">SUM(I5486:I5489)</f>
        <v>0</v>
      </c>
      <c r="J5485" s="1476">
        <f t="shared" si="586"/>
        <v>0</v>
      </c>
      <c r="K5485" s="1477">
        <f t="shared" si="579"/>
        <v>0</v>
      </c>
      <c r="M5485" s="291"/>
      <c r="N5485" s="291"/>
      <c r="O5485" s="291"/>
      <c r="P5485" s="291"/>
      <c r="S5485" s="364"/>
      <c r="Z5485" s="609" t="s">
        <v>2129</v>
      </c>
      <c r="AA5485" s="609"/>
    </row>
    <row r="5486" spans="1:27" ht="18">
      <c r="A5486" s="2714"/>
      <c r="B5486" s="371">
        <v>126</v>
      </c>
      <c r="C5486" s="371"/>
      <c r="D5486" s="2716">
        <f t="shared" si="578"/>
        <v>1</v>
      </c>
      <c r="E5486" s="2721">
        <v>1</v>
      </c>
      <c r="F5486" s="294"/>
      <c r="G5486" s="1474" t="s">
        <v>4553</v>
      </c>
      <c r="H5486" s="2275"/>
      <c r="I5486" s="2275"/>
      <c r="J5486" s="2275"/>
      <c r="K5486" s="1477">
        <f t="shared" si="579"/>
        <v>0</v>
      </c>
      <c r="M5486" s="291"/>
      <c r="N5486" s="291"/>
      <c r="O5486" s="291"/>
      <c r="P5486" s="291"/>
      <c r="S5486" s="364"/>
      <c r="Z5486" s="609" t="s">
        <v>2129</v>
      </c>
      <c r="AA5486" s="609"/>
    </row>
    <row r="5487" spans="1:27" ht="18">
      <c r="A5487" s="2714"/>
      <c r="B5487" s="371">
        <v>127</v>
      </c>
      <c r="C5487" s="371"/>
      <c r="D5487" s="2716">
        <f t="shared" si="578"/>
        <v>1</v>
      </c>
      <c r="E5487" s="2721">
        <v>1</v>
      </c>
      <c r="F5487" s="294"/>
      <c r="G5487" s="1474" t="s">
        <v>4554</v>
      </c>
      <c r="H5487" s="2275"/>
      <c r="I5487" s="2275"/>
      <c r="J5487" s="2275"/>
      <c r="K5487" s="1477">
        <f t="shared" si="579"/>
        <v>0</v>
      </c>
      <c r="M5487" s="291"/>
      <c r="N5487" s="291"/>
      <c r="O5487" s="291"/>
      <c r="P5487" s="291"/>
      <c r="S5487" s="364"/>
      <c r="Z5487" s="609" t="s">
        <v>2129</v>
      </c>
      <c r="AA5487" s="609"/>
    </row>
    <row r="5488" spans="1:27" ht="18">
      <c r="A5488" s="2714"/>
      <c r="B5488" s="371">
        <v>128</v>
      </c>
      <c r="C5488" s="371"/>
      <c r="D5488" s="2716">
        <f t="shared" si="578"/>
        <v>1</v>
      </c>
      <c r="E5488" s="2721">
        <v>1</v>
      </c>
      <c r="F5488" s="294"/>
      <c r="G5488" s="1474" t="s">
        <v>4555</v>
      </c>
      <c r="H5488" s="2275"/>
      <c r="I5488" s="2275"/>
      <c r="J5488" s="2275"/>
      <c r="K5488" s="1477">
        <f t="shared" ref="K5488" si="587">SUM(H5488:J5488)</f>
        <v>0</v>
      </c>
      <c r="M5488" s="291"/>
      <c r="N5488" s="291"/>
      <c r="O5488" s="291"/>
      <c r="P5488" s="291"/>
      <c r="S5488" s="364"/>
      <c r="Z5488" s="609" t="s">
        <v>2129</v>
      </c>
      <c r="AA5488" s="609"/>
    </row>
    <row r="5489" spans="1:31" ht="18">
      <c r="A5489" s="2714"/>
      <c r="B5489" s="371">
        <v>129</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36">
      <c r="A5490" s="2714"/>
      <c r="B5490" s="371">
        <v>130</v>
      </c>
      <c r="C5490" s="371"/>
      <c r="D5490" s="2716">
        <f t="shared" si="578"/>
        <v>1</v>
      </c>
      <c r="E5490" s="2721">
        <v>1</v>
      </c>
      <c r="F5490" s="294"/>
      <c r="G5490" s="1474" t="s">
        <v>4556</v>
      </c>
      <c r="H5490" s="2275"/>
      <c r="I5490" s="2275"/>
      <c r="J5490" s="2275"/>
      <c r="K5490" s="1477">
        <f t="shared" si="579"/>
        <v>0</v>
      </c>
      <c r="M5490" s="291"/>
      <c r="N5490" s="291"/>
      <c r="O5490" s="291"/>
      <c r="P5490" s="291"/>
      <c r="S5490" s="364"/>
      <c r="Z5490" s="609" t="s">
        <v>2129</v>
      </c>
      <c r="AA5490" s="609"/>
    </row>
    <row r="5491" spans="1:31" ht="18">
      <c r="A5491" s="2714"/>
      <c r="B5491" s="371">
        <v>131</v>
      </c>
      <c r="C5491" s="371" t="s">
        <v>2791</v>
      </c>
      <c r="D5491" s="2716">
        <f t="shared" si="578"/>
        <v>0</v>
      </c>
      <c r="E5491" s="2721">
        <v>1</v>
      </c>
      <c r="F5491" s="294"/>
      <c r="G5491" s="2589" t="s">
        <v>2792</v>
      </c>
      <c r="H5491" s="2275"/>
      <c r="I5491" s="2275"/>
      <c r="J5491" s="2275"/>
      <c r="K5491" s="1477">
        <f t="shared" si="579"/>
        <v>0</v>
      </c>
      <c r="M5491" s="291"/>
      <c r="N5491" s="291"/>
      <c r="O5491" s="291"/>
      <c r="P5491" s="291"/>
      <c r="S5491" s="364"/>
      <c r="Z5491" s="609" t="s">
        <v>2129</v>
      </c>
      <c r="AA5491" s="609"/>
    </row>
    <row r="5492" spans="1:31" ht="24">
      <c r="A5492" s="2714"/>
      <c r="B5492" s="371">
        <v>132</v>
      </c>
      <c r="C5492" s="371"/>
      <c r="D5492" s="2716">
        <f t="shared" si="578"/>
        <v>1</v>
      </c>
      <c r="E5492" s="2721">
        <v>1</v>
      </c>
      <c r="F5492" s="294"/>
      <c r="G5492" s="1474" t="s">
        <v>4557</v>
      </c>
      <c r="H5492" s="1476">
        <f>SUM(H5485,H5490,H5491)</f>
        <v>0</v>
      </c>
      <c r="I5492" s="1476">
        <f t="shared" ref="I5492:J5492" si="588">SUM(I5485,I5490,I5491)</f>
        <v>0</v>
      </c>
      <c r="J5492" s="1476">
        <f t="shared" si="588"/>
        <v>0</v>
      </c>
      <c r="K5492" s="1477">
        <f t="shared" si="579"/>
        <v>0</v>
      </c>
      <c r="M5492" s="291"/>
      <c r="N5492" s="291"/>
      <c r="O5492" s="291"/>
      <c r="P5492" s="291"/>
      <c r="S5492" s="364"/>
      <c r="Z5492" s="609" t="s">
        <v>2129</v>
      </c>
      <c r="AA5492" s="609"/>
    </row>
    <row r="5493" spans="1:31" ht="18">
      <c r="A5493" s="2714"/>
      <c r="B5493" s="371">
        <v>133</v>
      </c>
      <c r="C5493" s="371"/>
      <c r="D5493" s="2716">
        <f t="shared" si="578"/>
        <v>1</v>
      </c>
      <c r="E5493" s="2721" t="s">
        <v>41</v>
      </c>
      <c r="F5493" s="294"/>
      <c r="G5493" s="632" t="s">
        <v>4558</v>
      </c>
      <c r="H5493" s="2275"/>
      <c r="I5493" s="2275"/>
      <c r="J5493" s="2275"/>
      <c r="K5493" s="2296"/>
      <c r="M5493" s="291"/>
      <c r="N5493" s="291"/>
      <c r="O5493" s="291"/>
      <c r="P5493" s="291"/>
      <c r="S5493" s="364"/>
      <c r="Z5493" s="609" t="s">
        <v>2129</v>
      </c>
      <c r="AA5493" s="609"/>
    </row>
    <row r="5494" spans="1:31" ht="18">
      <c r="A5494" s="2714"/>
      <c r="B5494" s="371">
        <v>134</v>
      </c>
      <c r="C5494" s="371"/>
      <c r="D5494" s="2716">
        <f t="shared" si="578"/>
        <v>1</v>
      </c>
      <c r="E5494" s="2721">
        <v>1</v>
      </c>
      <c r="F5494" s="294"/>
      <c r="G5494" s="1474" t="s">
        <v>4559</v>
      </c>
      <c r="H5494" s="2275"/>
      <c r="I5494" s="2275"/>
      <c r="J5494" s="2275"/>
      <c r="K5494" s="1477">
        <f t="shared" si="579"/>
        <v>0</v>
      </c>
      <c r="M5494" s="291"/>
      <c r="N5494" s="291"/>
      <c r="O5494" s="291"/>
      <c r="P5494" s="291"/>
      <c r="S5494" s="364"/>
      <c r="Z5494" s="609" t="s">
        <v>2129</v>
      </c>
      <c r="AA5494" s="609"/>
    </row>
    <row r="5495" spans="1:31" ht="18">
      <c r="A5495" s="2714"/>
      <c r="B5495" s="371">
        <v>135</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24">
      <c r="A5496" s="2714"/>
      <c r="B5496" s="371">
        <v>136</v>
      </c>
      <c r="C5496" s="371"/>
      <c r="D5496" s="2716">
        <f t="shared" si="578"/>
        <v>1</v>
      </c>
      <c r="E5496" s="2721">
        <v>1</v>
      </c>
      <c r="F5496" s="294"/>
      <c r="G5496" s="1474" t="s">
        <v>4560</v>
      </c>
      <c r="H5496" s="1476">
        <f>SUM(H5494:H5495)</f>
        <v>0</v>
      </c>
      <c r="I5496" s="1476">
        <f>SUM(I5494:I5495)</f>
        <v>0</v>
      </c>
      <c r="J5496" s="1476">
        <f>SUM(J5494:J5495)</f>
        <v>0</v>
      </c>
      <c r="K5496" s="1477">
        <f t="shared" si="579"/>
        <v>0</v>
      </c>
      <c r="M5496" s="291"/>
      <c r="N5496" s="291"/>
      <c r="O5496" s="291"/>
      <c r="P5496" s="291"/>
      <c r="S5496" s="364"/>
      <c r="Z5496" s="609" t="s">
        <v>2129</v>
      </c>
      <c r="AA5496" s="609"/>
    </row>
    <row r="5497" spans="1:31" ht="18">
      <c r="A5497" s="2714"/>
      <c r="B5497" s="371">
        <v>137</v>
      </c>
      <c r="C5497" s="371" t="s">
        <v>2791</v>
      </c>
      <c r="D5497" s="2716">
        <f t="shared" si="578"/>
        <v>0</v>
      </c>
      <c r="E5497" s="2721">
        <v>1</v>
      </c>
      <c r="F5497" s="294"/>
      <c r="G5497" s="2589" t="s">
        <v>2792</v>
      </c>
      <c r="H5497" s="2275"/>
      <c r="I5497" s="2275"/>
      <c r="J5497" s="2275"/>
      <c r="K5497" s="1477">
        <f t="shared" si="579"/>
        <v>0</v>
      </c>
      <c r="M5497" s="291"/>
      <c r="N5497" s="291"/>
      <c r="O5497" s="291"/>
      <c r="P5497" s="291"/>
      <c r="S5497" s="364"/>
      <c r="Z5497" s="609" t="s">
        <v>2129</v>
      </c>
      <c r="AA5497" s="609"/>
    </row>
    <row r="5498" spans="1:31" ht="18">
      <c r="A5498" s="2714"/>
      <c r="B5498" s="371">
        <v>138</v>
      </c>
      <c r="C5498" s="371" t="s">
        <v>2791</v>
      </c>
      <c r="D5498" s="2716">
        <f t="shared" si="578"/>
        <v>0</v>
      </c>
      <c r="E5498" s="2721">
        <v>1</v>
      </c>
      <c r="F5498" s="294"/>
      <c r="G5498" s="2589" t="s">
        <v>2792</v>
      </c>
      <c r="H5498" s="2275"/>
      <c r="I5498" s="2275"/>
      <c r="J5498" s="2275"/>
      <c r="K5498" s="1477">
        <f t="shared" si="579"/>
        <v>0</v>
      </c>
      <c r="M5498" s="291"/>
      <c r="N5498" s="291"/>
      <c r="O5498" s="291"/>
      <c r="P5498" s="291"/>
      <c r="S5498" s="364"/>
      <c r="Z5498" s="609" t="s">
        <v>2129</v>
      </c>
      <c r="AA5498" s="609"/>
    </row>
    <row r="5499" spans="1:31" ht="24">
      <c r="A5499" s="2714"/>
      <c r="B5499" s="371">
        <v>139</v>
      </c>
      <c r="C5499" s="371"/>
      <c r="D5499" s="2716">
        <f t="shared" si="578"/>
        <v>1</v>
      </c>
      <c r="E5499" s="2721">
        <v>1</v>
      </c>
      <c r="F5499" s="294"/>
      <c r="G5499" s="1474" t="s">
        <v>4561</v>
      </c>
      <c r="H5499" s="1476">
        <f>SUM(H5497:H5498)</f>
        <v>0</v>
      </c>
      <c r="I5499" s="1476">
        <f>SUM(I5497:I5498)</f>
        <v>0</v>
      </c>
      <c r="J5499" s="1476">
        <f>SUM(J5497:J5498)</f>
        <v>0</v>
      </c>
      <c r="K5499" s="1477">
        <f t="shared" si="579"/>
        <v>0</v>
      </c>
      <c r="M5499" s="291"/>
      <c r="N5499" s="291"/>
      <c r="O5499" s="291"/>
      <c r="P5499" s="291"/>
      <c r="S5499" s="364"/>
      <c r="Z5499" s="609" t="s">
        <v>2129</v>
      </c>
      <c r="AA5499" s="609"/>
    </row>
    <row r="5500" spans="1:31" ht="18.75" thickBot="1">
      <c r="A5500" s="2714"/>
      <c r="B5500" s="371"/>
      <c r="C5500" s="371"/>
      <c r="D5500" s="2716">
        <f t="shared" si="578"/>
        <v>0</v>
      </c>
      <c r="E5500" s="2721" t="s">
        <v>3595</v>
      </c>
      <c r="F5500" s="294"/>
      <c r="G5500" s="2429"/>
      <c r="H5500" s="2308"/>
      <c r="I5500" s="2308"/>
      <c r="J5500" s="2308"/>
      <c r="K5500" s="2309"/>
      <c r="M5500" s="291"/>
      <c r="N5500" s="291"/>
      <c r="O5500" s="291"/>
      <c r="P5500" s="291"/>
      <c r="S5500" s="364"/>
      <c r="Z5500" s="609" t="s">
        <v>2129</v>
      </c>
      <c r="AA5500" s="609"/>
    </row>
    <row r="5501" spans="1:31" ht="18">
      <c r="A5501" s="2714"/>
      <c r="B5501" s="371"/>
      <c r="C5501" s="371" t="s">
        <v>2755</v>
      </c>
      <c r="D5501" s="371"/>
      <c r="F5501" s="294"/>
      <c r="G5501" s="301"/>
      <c r="H5501" s="315"/>
      <c r="I5501" s="315"/>
      <c r="J5501" s="315"/>
      <c r="K5501" s="315"/>
      <c r="L5501" s="350"/>
      <c r="M5501" s="291"/>
      <c r="N5501" s="291"/>
      <c r="O5501" s="291"/>
      <c r="P5501" s="291"/>
      <c r="S5501" s="364"/>
      <c r="Z5501" s="609" t="s">
        <v>2129</v>
      </c>
      <c r="AA5501" s="609"/>
    </row>
    <row r="5502" spans="1:31" ht="24" hidden="1">
      <c r="A5502" s="2714" t="s">
        <v>6149</v>
      </c>
      <c r="B5502" s="371">
        <v>1</v>
      </c>
      <c r="C5502" s="371"/>
      <c r="D5502" s="2716" t="str">
        <f>VLOOKUP($A5502,Sheet_NoteList,2,0)</f>
        <v>以公允价值计量的资产和负债的期末公允价值</v>
      </c>
      <c r="E5502" s="2716" t="s">
        <v>6614</v>
      </c>
      <c r="F5502" s="293"/>
      <c r="G5502" s="372" t="str">
        <f>"("&amp;B5502&amp;")"&amp;D5502</f>
        <v>(1)以公允价值计量的资产和负债的期末公允价值</v>
      </c>
      <c r="H5502" s="1517" t="str">
        <f>$A5502</f>
        <v>9331k</v>
      </c>
      <c r="I5502" s="343" t="s">
        <v>6617</v>
      </c>
      <c r="J5502" s="301" t="s">
        <v>6615</v>
      </c>
      <c r="K5502" s="391">
        <f>H5548</f>
        <v>0</v>
      </c>
      <c r="L5502" s="349"/>
      <c r="M5502" s="301" t="s">
        <v>6619</v>
      </c>
      <c r="N5502" s="391">
        <f>I5548</f>
        <v>0</v>
      </c>
      <c r="O5502" s="349"/>
      <c r="P5502" s="301"/>
      <c r="S5502" s="364"/>
      <c r="Z5502" s="609" t="s">
        <v>2129</v>
      </c>
      <c r="AA5502" s="609" t="s">
        <v>19</v>
      </c>
      <c r="AE5502" s="369" t="s">
        <v>2761</v>
      </c>
    </row>
    <row r="5503" spans="1:31" ht="0.75" hidden="1" customHeight="1">
      <c r="A5503" s="2714"/>
      <c r="B5503" s="371"/>
      <c r="C5503" s="371"/>
      <c r="D5503" s="2716"/>
      <c r="E5503" s="586"/>
      <c r="F5503" s="586"/>
      <c r="G5503" s="2224" t="s">
        <v>6151</v>
      </c>
      <c r="H5503" s="371" t="s">
        <v>2833</v>
      </c>
      <c r="I5503" s="371" t="s">
        <v>4524</v>
      </c>
      <c r="J5503" s="371" t="s">
        <v>4525</v>
      </c>
      <c r="K5503" s="371" t="s">
        <v>4526</v>
      </c>
      <c r="L5503" s="2211"/>
      <c r="M5503" s="2212"/>
      <c r="N5503" s="2210"/>
      <c r="O5503" s="2211"/>
      <c r="P5503" s="2212"/>
      <c r="Q5503" s="442"/>
      <c r="R5503" s="442"/>
      <c r="S5503" s="364"/>
      <c r="Z5503" s="609" t="s">
        <v>2129</v>
      </c>
      <c r="AA5503" s="609" t="s">
        <v>19</v>
      </c>
      <c r="AE5503" s="369" t="s">
        <v>2761</v>
      </c>
    </row>
    <row r="5504" spans="1:31" ht="0.75" hidden="1" customHeight="1" thickBot="1">
      <c r="A5504" s="2714"/>
      <c r="B5504" s="371"/>
      <c r="C5504" s="371"/>
      <c r="D5504" s="2716"/>
      <c r="E5504" s="586"/>
      <c r="F5504" s="586"/>
      <c r="G5504" s="2224"/>
      <c r="H5504" s="371" t="s">
        <v>4527</v>
      </c>
      <c r="I5504" s="371" t="s">
        <v>4528</v>
      </c>
      <c r="J5504" s="371" t="s">
        <v>4529</v>
      </c>
      <c r="K5504" s="371" t="s">
        <v>4530</v>
      </c>
      <c r="L5504" s="2211"/>
      <c r="M5504" s="2212"/>
      <c r="N5504" s="2210"/>
      <c r="O5504" s="2211"/>
      <c r="P5504" s="2212"/>
      <c r="Q5504" s="442"/>
      <c r="R5504" s="442"/>
      <c r="S5504" s="364"/>
      <c r="Z5504" s="609" t="s">
        <v>2129</v>
      </c>
      <c r="AA5504" s="609" t="s">
        <v>19</v>
      </c>
      <c r="AE5504" s="369" t="s">
        <v>2761</v>
      </c>
    </row>
    <row r="5505" spans="1:31" ht="18" hidden="1" customHeight="1">
      <c r="A5505" s="2714"/>
      <c r="B5505" s="371"/>
      <c r="C5505" s="371"/>
      <c r="D5505" s="2716"/>
      <c r="E5505" s="586" t="s">
        <v>2749</v>
      </c>
      <c r="F5505" s="414"/>
      <c r="G5505" s="3159" t="s">
        <v>47</v>
      </c>
      <c r="H5505" s="3168" t="s">
        <v>6152</v>
      </c>
      <c r="I5505" s="3168"/>
      <c r="J5505" s="3168"/>
      <c r="K5505" s="3169"/>
      <c r="L5505" s="2621" t="s">
        <v>5990</v>
      </c>
      <c r="M5505" s="2212"/>
      <c r="N5505" s="2210"/>
      <c r="O5505" s="2211"/>
      <c r="P5505" s="2212"/>
      <c r="Q5505" s="442"/>
      <c r="R5505" s="442"/>
      <c r="S5505" s="364"/>
      <c r="Z5505" s="609" t="s">
        <v>2129</v>
      </c>
      <c r="AA5505" s="609" t="s">
        <v>19</v>
      </c>
      <c r="AE5505" s="369" t="s">
        <v>2761</v>
      </c>
    </row>
    <row r="5506" spans="1:31" ht="24" hidden="1">
      <c r="A5506" s="2714"/>
      <c r="B5506" s="371"/>
      <c r="C5506" s="371"/>
      <c r="D5506" s="2716"/>
      <c r="E5506" s="586" t="s">
        <v>2749</v>
      </c>
      <c r="F5506" s="414"/>
      <c r="G5506" s="3160"/>
      <c r="H5506" s="2587" t="s">
        <v>4531</v>
      </c>
      <c r="I5506" s="2587" t="s">
        <v>4532</v>
      </c>
      <c r="J5506" s="2587" t="s">
        <v>4533</v>
      </c>
      <c r="K5506" s="2576" t="s">
        <v>3351</v>
      </c>
      <c r="L5506" s="2211"/>
      <c r="M5506" s="2212"/>
      <c r="N5506" s="2210"/>
      <c r="O5506" s="2211"/>
      <c r="P5506" s="2212"/>
      <c r="Q5506" s="442"/>
      <c r="R5506" s="442"/>
      <c r="S5506" s="364"/>
      <c r="Z5506" s="609" t="s">
        <v>2129</v>
      </c>
      <c r="AA5506" s="609" t="s">
        <v>19</v>
      </c>
      <c r="AE5506" s="369" t="s">
        <v>2761</v>
      </c>
    </row>
    <row r="5507" spans="1:31" ht="18" hidden="1">
      <c r="A5507" s="2714"/>
      <c r="B5507" s="371">
        <v>101</v>
      </c>
      <c r="C5507" s="371"/>
      <c r="D5507" s="2716">
        <f t="shared" ref="D5507:D5548" si="589">IF(OR(G5507="*",G5507="",G5507=0),0,COUNTIF($G$5507:$G$5548,G5507))</f>
        <v>1</v>
      </c>
      <c r="E5507" s="2721" t="s">
        <v>41</v>
      </c>
      <c r="F5507" s="293"/>
      <c r="G5507" s="1474" t="s">
        <v>4534</v>
      </c>
      <c r="H5507" s="2275"/>
      <c r="I5507" s="2275"/>
      <c r="J5507" s="2275"/>
      <c r="K5507" s="2296"/>
      <c r="L5507" s="2211"/>
      <c r="M5507" s="2212"/>
      <c r="N5507" s="2210"/>
      <c r="O5507" s="2211"/>
      <c r="P5507" s="2212"/>
      <c r="Q5507" s="442"/>
      <c r="R5507" s="442"/>
      <c r="S5507" s="364"/>
      <c r="Z5507" s="609" t="s">
        <v>2129</v>
      </c>
      <c r="AA5507" s="609" t="s">
        <v>19</v>
      </c>
      <c r="AE5507" s="369" t="s">
        <v>2761</v>
      </c>
    </row>
    <row r="5508" spans="1:31" ht="24" hidden="1">
      <c r="A5508" s="2714"/>
      <c r="B5508" s="371">
        <v>102</v>
      </c>
      <c r="C5508" s="371"/>
      <c r="D5508" s="2716">
        <f t="shared" si="589"/>
        <v>1</v>
      </c>
      <c r="E5508" s="2721">
        <v>1</v>
      </c>
      <c r="F5508" s="293"/>
      <c r="G5508" s="1474" t="s">
        <v>6153</v>
      </c>
      <c r="H5508" s="1476">
        <f>SUM(H5509,H5514)</f>
        <v>0</v>
      </c>
      <c r="I5508" s="1476">
        <f t="shared" ref="I5508:J5508" si="590">SUM(I5509,I5514)</f>
        <v>0</v>
      </c>
      <c r="J5508" s="1476">
        <f t="shared" si="590"/>
        <v>0</v>
      </c>
      <c r="K5508" s="1477">
        <f>SUM(H5508:J5508)</f>
        <v>0</v>
      </c>
      <c r="L5508" s="2211"/>
      <c r="M5508" s="2212"/>
      <c r="N5508" s="2210"/>
      <c r="O5508" s="2211"/>
      <c r="P5508" s="2212"/>
      <c r="Q5508" s="442"/>
      <c r="R5508" s="442"/>
      <c r="S5508" s="364"/>
      <c r="Z5508" s="609" t="s">
        <v>2129</v>
      </c>
      <c r="AA5508" s="609" t="s">
        <v>19</v>
      </c>
      <c r="AE5508" s="369" t="s">
        <v>2761</v>
      </c>
    </row>
    <row r="5509" spans="1:31" ht="18" hidden="1">
      <c r="A5509" s="2714"/>
      <c r="B5509" s="371">
        <v>103</v>
      </c>
      <c r="C5509" s="371"/>
      <c r="D5509" s="2716">
        <f t="shared" si="589"/>
        <v>1</v>
      </c>
      <c r="E5509" s="2721">
        <v>1</v>
      </c>
      <c r="F5509" s="293"/>
      <c r="G5509" s="1474" t="s">
        <v>6159</v>
      </c>
      <c r="H5509" s="1476">
        <f>SUM(H5510:H5513)</f>
        <v>0</v>
      </c>
      <c r="I5509" s="1476">
        <f t="shared" ref="I5509:J5509" si="591">SUM(I5510:I5513)</f>
        <v>0</v>
      </c>
      <c r="J5509" s="1476">
        <f t="shared" si="591"/>
        <v>0</v>
      </c>
      <c r="K5509" s="1477">
        <f t="shared" ref="K5509:K5547" si="592">SUM(H5509:J5509)</f>
        <v>0</v>
      </c>
      <c r="L5509" s="2211"/>
      <c r="M5509" s="2212"/>
      <c r="N5509" s="2210"/>
      <c r="O5509" s="2211"/>
      <c r="P5509" s="2212"/>
      <c r="Q5509" s="442"/>
      <c r="R5509" s="442"/>
      <c r="S5509" s="364"/>
      <c r="Z5509" s="609" t="s">
        <v>2129</v>
      </c>
      <c r="AA5509" s="609" t="s">
        <v>19</v>
      </c>
      <c r="AE5509" s="369" t="s">
        <v>2761</v>
      </c>
    </row>
    <row r="5510" spans="1:31" ht="18" hidden="1">
      <c r="A5510" s="2714"/>
      <c r="B5510" s="371">
        <v>104</v>
      </c>
      <c r="C5510" s="371"/>
      <c r="D5510" s="2716">
        <f t="shared" si="589"/>
        <v>1</v>
      </c>
      <c r="E5510" s="2721">
        <v>1</v>
      </c>
      <c r="F5510" s="293"/>
      <c r="G5510" s="1474" t="s">
        <v>6161</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105</v>
      </c>
      <c r="C5511" s="371"/>
      <c r="D5511" s="2716">
        <f t="shared" si="589"/>
        <v>1</v>
      </c>
      <c r="E5511" s="2721">
        <v>1</v>
      </c>
      <c r="F5511" s="293"/>
      <c r="G5511" s="1474" t="s">
        <v>6163</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18" hidden="1">
      <c r="A5512" s="2714"/>
      <c r="B5512" s="371">
        <v>106</v>
      </c>
      <c r="C5512" s="371"/>
      <c r="D5512" s="2716">
        <f t="shared" si="589"/>
        <v>1</v>
      </c>
      <c r="E5512" s="2721">
        <v>1</v>
      </c>
      <c r="F5512" s="293"/>
      <c r="G5512" s="1474" t="s">
        <v>4538</v>
      </c>
      <c r="H5512" s="2275"/>
      <c r="I5512" s="2275"/>
      <c r="J5512" s="2275"/>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107</v>
      </c>
      <c r="C5513" s="371" t="s">
        <v>6536</v>
      </c>
      <c r="D5513" s="2716">
        <f t="shared" si="589"/>
        <v>0</v>
      </c>
      <c r="E5513" s="2721">
        <v>1</v>
      </c>
      <c r="F5513" s="293"/>
      <c r="G5513" s="2589" t="s">
        <v>2792</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24" hidden="1">
      <c r="A5514" s="2714"/>
      <c r="B5514" s="371">
        <v>108</v>
      </c>
      <c r="C5514" s="371"/>
      <c r="D5514" s="2716">
        <f t="shared" si="589"/>
        <v>1</v>
      </c>
      <c r="E5514" s="2721">
        <v>1</v>
      </c>
      <c r="F5514" s="293"/>
      <c r="G5514" s="1474" t="s">
        <v>4539</v>
      </c>
      <c r="H5514" s="1476">
        <f>SUM(H5515:H5517)</f>
        <v>0</v>
      </c>
      <c r="I5514" s="1476">
        <f t="shared" ref="I5514:J5514" si="593">SUM(I5515:I5517)</f>
        <v>0</v>
      </c>
      <c r="J5514" s="1476">
        <f t="shared" si="593"/>
        <v>0</v>
      </c>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109</v>
      </c>
      <c r="C5515" s="371"/>
      <c r="D5515" s="2716">
        <f t="shared" si="589"/>
        <v>1</v>
      </c>
      <c r="E5515" s="2721">
        <v>1</v>
      </c>
      <c r="F5515" s="293"/>
      <c r="G5515" s="1474" t="s">
        <v>6162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110</v>
      </c>
      <c r="C5516" s="371"/>
      <c r="D5516" s="2716">
        <f t="shared" si="589"/>
        <v>1</v>
      </c>
      <c r="E5516" s="2721">
        <v>1</v>
      </c>
      <c r="F5516" s="293"/>
      <c r="G5516" s="1474" t="s">
        <v>6164</v>
      </c>
      <c r="H5516" s="2275"/>
      <c r="I5516" s="2275"/>
      <c r="J5516" s="2275"/>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111</v>
      </c>
      <c r="C5517" s="371" t="s">
        <v>6536</v>
      </c>
      <c r="D5517" s="2716">
        <f t="shared" si="589"/>
        <v>0</v>
      </c>
      <c r="E5517" s="2721">
        <v>1</v>
      </c>
      <c r="F5517" s="293"/>
      <c r="G5517" s="2589" t="s">
        <v>2792</v>
      </c>
      <c r="H5517" s="2275"/>
      <c r="I5517" s="2275"/>
      <c r="J5517" s="2275"/>
      <c r="K5517" s="1477">
        <f t="shared" si="592"/>
        <v>0</v>
      </c>
      <c r="L5517" s="2211"/>
      <c r="M5517" s="2212"/>
      <c r="N5517" s="2210"/>
      <c r="O5517" s="2211"/>
      <c r="P5517" s="2212"/>
      <c r="Q5517" s="442"/>
      <c r="R5517" s="442"/>
      <c r="S5517" s="364"/>
      <c r="Z5517" s="609" t="s">
        <v>2129</v>
      </c>
      <c r="AA5517" s="609" t="s">
        <v>19</v>
      </c>
      <c r="AE5517" s="369" t="s">
        <v>2761</v>
      </c>
    </row>
    <row r="5518" spans="1:31" ht="18" hidden="1">
      <c r="A5518" s="2714"/>
      <c r="B5518" s="371">
        <v>112</v>
      </c>
      <c r="C5518" s="371"/>
      <c r="D5518" s="2716">
        <f t="shared" si="589"/>
        <v>1</v>
      </c>
      <c r="E5518" s="2721">
        <v>1</v>
      </c>
      <c r="F5518" s="293"/>
      <c r="G5518" s="1474" t="s">
        <v>6154</v>
      </c>
      <c r="H5518" s="1476">
        <f>SUM(H5519:H5522)</f>
        <v>0</v>
      </c>
      <c r="I5518" s="1476">
        <f t="shared" ref="I5518:J5518" si="594">SUM(I5519:I5522)</f>
        <v>0</v>
      </c>
      <c r="J5518" s="1476">
        <f t="shared" si="594"/>
        <v>0</v>
      </c>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113</v>
      </c>
      <c r="C5519" s="371"/>
      <c r="D5519" s="2716">
        <f t="shared" si="589"/>
        <v>1</v>
      </c>
      <c r="E5519" s="2721">
        <v>1</v>
      </c>
      <c r="F5519" s="293"/>
      <c r="G5519" s="1474" t="s">
        <v>6165</v>
      </c>
      <c r="H5519" s="2275"/>
      <c r="I5519" s="2275"/>
      <c r="J5519" s="2275"/>
      <c r="K5519" s="1477">
        <f>SUM(H5519:J5519)</f>
        <v>0</v>
      </c>
      <c r="L5519" s="2211"/>
      <c r="M5519" s="2212"/>
      <c r="N5519" s="2210"/>
      <c r="O5519" s="2211"/>
      <c r="P5519" s="2212"/>
      <c r="Q5519" s="442"/>
      <c r="R5519" s="442"/>
      <c r="S5519" s="364"/>
      <c r="Z5519" s="609" t="s">
        <v>2129</v>
      </c>
      <c r="AA5519" s="609" t="s">
        <v>19</v>
      </c>
      <c r="AE5519" s="369" t="s">
        <v>2761</v>
      </c>
    </row>
    <row r="5520" spans="1:31" ht="18" hidden="1">
      <c r="A5520" s="2714"/>
      <c r="B5520" s="371">
        <v>114</v>
      </c>
      <c r="C5520" s="371"/>
      <c r="D5520" s="2716">
        <f t="shared" si="589"/>
        <v>1</v>
      </c>
      <c r="E5520" s="2721">
        <v>1</v>
      </c>
      <c r="F5520" s="293"/>
      <c r="G5520" s="1474" t="s">
        <v>6166</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115</v>
      </c>
      <c r="C5521" s="371"/>
      <c r="D5521" s="2716">
        <f t="shared" si="589"/>
        <v>1</v>
      </c>
      <c r="E5521" s="2721">
        <v>1</v>
      </c>
      <c r="F5521" s="293"/>
      <c r="G5521" s="1474" t="s">
        <v>6160</v>
      </c>
      <c r="H5521" s="2275"/>
      <c r="I5521" s="2275"/>
      <c r="J5521" s="2275"/>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116</v>
      </c>
      <c r="C5522" s="371" t="s">
        <v>6536</v>
      </c>
      <c r="D5522" s="2716">
        <f t="shared" si="589"/>
        <v>0</v>
      </c>
      <c r="E5522" s="2721">
        <v>1</v>
      </c>
      <c r="F5522" s="293"/>
      <c r="G5522" s="2589" t="s">
        <v>2792</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117</v>
      </c>
      <c r="C5523" s="371"/>
      <c r="D5523" s="2716">
        <f t="shared" si="589"/>
        <v>1</v>
      </c>
      <c r="E5523" s="2721">
        <v>1</v>
      </c>
      <c r="F5523" s="293"/>
      <c r="G5523" s="1474" t="s">
        <v>6155</v>
      </c>
      <c r="H5523" s="1476">
        <f>SUM(H5524:H5527)</f>
        <v>0</v>
      </c>
      <c r="I5523" s="1476">
        <f t="shared" ref="I5523:J5523" si="595">SUM(I5524:I5527)</f>
        <v>0</v>
      </c>
      <c r="J5523" s="1476">
        <f t="shared" si="595"/>
        <v>0</v>
      </c>
      <c r="K5523" s="1477">
        <f t="shared" si="592"/>
        <v>0</v>
      </c>
      <c r="L5523" s="2211"/>
      <c r="M5523" s="2212"/>
      <c r="N5523" s="2210"/>
      <c r="O5523" s="2211"/>
      <c r="P5523" s="2212"/>
      <c r="Q5523" s="442"/>
      <c r="R5523" s="442"/>
      <c r="S5523" s="364"/>
      <c r="Z5523" s="609" t="s">
        <v>2129</v>
      </c>
      <c r="AA5523" s="609" t="s">
        <v>19</v>
      </c>
      <c r="AE5523" s="369" t="s">
        <v>2761</v>
      </c>
    </row>
    <row r="5524" spans="1:31" ht="18" hidden="1">
      <c r="A5524" s="2714"/>
      <c r="B5524" s="371">
        <v>118</v>
      </c>
      <c r="C5524" s="371"/>
      <c r="D5524" s="2716">
        <f t="shared" si="589"/>
        <v>1</v>
      </c>
      <c r="E5524" s="2721">
        <v>1</v>
      </c>
      <c r="F5524" s="293"/>
      <c r="G5524" s="1474" t="s">
        <v>4545</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119</v>
      </c>
      <c r="C5525" s="371"/>
      <c r="D5525" s="2716">
        <f t="shared" si="589"/>
        <v>1</v>
      </c>
      <c r="E5525" s="2721">
        <v>1</v>
      </c>
      <c r="F5525" s="293"/>
      <c r="G5525" s="1474" t="s">
        <v>4546</v>
      </c>
      <c r="H5525" s="2275"/>
      <c r="I5525" s="2275"/>
      <c r="J5525" s="2275"/>
      <c r="K5525" s="1477">
        <f t="shared" si="592"/>
        <v>0</v>
      </c>
      <c r="L5525" s="2211"/>
      <c r="M5525" s="2212"/>
      <c r="N5525" s="2210"/>
      <c r="O5525" s="2211"/>
      <c r="P5525" s="2212"/>
      <c r="Q5525" s="442"/>
      <c r="R5525" s="442"/>
      <c r="S5525" s="364"/>
      <c r="Z5525" s="609" t="s">
        <v>2129</v>
      </c>
      <c r="AA5525" s="609" t="s">
        <v>19</v>
      </c>
      <c r="AE5525" s="369" t="s">
        <v>2761</v>
      </c>
    </row>
    <row r="5526" spans="1:31" ht="24" hidden="1">
      <c r="A5526" s="2714"/>
      <c r="B5526" s="371">
        <v>120</v>
      </c>
      <c r="C5526" s="371"/>
      <c r="D5526" s="2716">
        <f t="shared" si="589"/>
        <v>1</v>
      </c>
      <c r="E5526" s="2721">
        <v>1</v>
      </c>
      <c r="F5526" s="293"/>
      <c r="G5526" s="1474" t="s">
        <v>4547</v>
      </c>
      <c r="H5526" s="2275"/>
      <c r="I5526" s="2275"/>
      <c r="J5526" s="2275"/>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121</v>
      </c>
      <c r="C5527" s="371" t="s">
        <v>6536</v>
      </c>
      <c r="D5527" s="2716">
        <f t="shared" si="589"/>
        <v>0</v>
      </c>
      <c r="E5527" s="2721">
        <v>1</v>
      </c>
      <c r="F5527" s="293"/>
      <c r="G5527" s="2589" t="s">
        <v>2792</v>
      </c>
      <c r="H5527" s="2275"/>
      <c r="I5527" s="2275"/>
      <c r="J5527" s="2275"/>
      <c r="K5527" s="1477">
        <f>SUM(H5527:J5527)</f>
        <v>0</v>
      </c>
      <c r="L5527" s="2211"/>
      <c r="M5527" s="2212"/>
      <c r="N5527" s="2210"/>
      <c r="O5527" s="2211"/>
      <c r="P5527" s="2212"/>
      <c r="Q5527" s="442"/>
      <c r="R5527" s="442"/>
      <c r="S5527" s="364"/>
      <c r="Z5527" s="609" t="s">
        <v>2129</v>
      </c>
      <c r="AA5527" s="609" t="s">
        <v>19</v>
      </c>
      <c r="AE5527" s="369" t="s">
        <v>2761</v>
      </c>
    </row>
    <row r="5528" spans="1:31" ht="18" hidden="1">
      <c r="A5528" s="2714"/>
      <c r="B5528" s="371">
        <v>122</v>
      </c>
      <c r="C5528" s="371"/>
      <c r="D5528" s="2716">
        <f t="shared" si="589"/>
        <v>1</v>
      </c>
      <c r="E5528" s="2721">
        <v>1</v>
      </c>
      <c r="F5528" s="293"/>
      <c r="G5528" s="1474" t="s">
        <v>6156</v>
      </c>
      <c r="H5528" s="1476">
        <f>SUM(H5529:H5530)</f>
        <v>0</v>
      </c>
      <c r="I5528" s="1476">
        <f t="shared" ref="I5528:J5528" si="596">SUM(I5529:I5530)</f>
        <v>0</v>
      </c>
      <c r="J5528" s="1476">
        <f t="shared" si="596"/>
        <v>0</v>
      </c>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123</v>
      </c>
      <c r="C5529" s="371"/>
      <c r="D5529" s="2716">
        <f t="shared" si="589"/>
        <v>1</v>
      </c>
      <c r="E5529" s="2721">
        <v>1</v>
      </c>
      <c r="F5529" s="293"/>
      <c r="G5529" s="1474" t="s">
        <v>4549</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18" hidden="1">
      <c r="A5530" s="2714"/>
      <c r="B5530" s="371">
        <v>124</v>
      </c>
      <c r="C5530" s="371"/>
      <c r="D5530" s="2716">
        <f t="shared" si="589"/>
        <v>1</v>
      </c>
      <c r="E5530" s="2721">
        <v>1</v>
      </c>
      <c r="F5530" s="293"/>
      <c r="G5530" s="1474" t="s">
        <v>4550</v>
      </c>
      <c r="H5530" s="2275"/>
      <c r="I5530" s="2275"/>
      <c r="J5530" s="2275"/>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125</v>
      </c>
      <c r="C5531" s="371" t="s">
        <v>2791</v>
      </c>
      <c r="D5531" s="2716">
        <f t="shared" si="589"/>
        <v>0</v>
      </c>
      <c r="E5531" s="2721">
        <v>1</v>
      </c>
      <c r="F5531" s="293"/>
      <c r="G5531" s="2589" t="s">
        <v>2792</v>
      </c>
      <c r="H5531" s="2275"/>
      <c r="I5531" s="2275"/>
      <c r="J5531" s="2275"/>
      <c r="K5531" s="1477">
        <f t="shared" si="592"/>
        <v>0</v>
      </c>
      <c r="L5531" s="2211"/>
      <c r="M5531" s="2212"/>
      <c r="N5531" s="2210"/>
      <c r="O5531" s="2211"/>
      <c r="P5531" s="2212"/>
      <c r="Q5531" s="442"/>
      <c r="R5531" s="442"/>
      <c r="S5531" s="364"/>
      <c r="Z5531" s="609" t="s">
        <v>2129</v>
      </c>
      <c r="AA5531" s="609" t="s">
        <v>19</v>
      </c>
      <c r="AE5531" s="369" t="s">
        <v>2761</v>
      </c>
    </row>
    <row r="5532" spans="1:31" ht="24" hidden="1">
      <c r="A5532" s="2714"/>
      <c r="B5532" s="371">
        <v>126</v>
      </c>
      <c r="C5532" s="371"/>
      <c r="D5532" s="2716">
        <f t="shared" si="589"/>
        <v>1</v>
      </c>
      <c r="E5532" s="2721">
        <v>1</v>
      </c>
      <c r="F5532" s="293"/>
      <c r="G5532" s="1474" t="s">
        <v>4551</v>
      </c>
      <c r="H5532" s="1476">
        <f>SUM(H5508,H5518,H5523,H5528,H5531)</f>
        <v>0</v>
      </c>
      <c r="I5532" s="1476">
        <f t="shared" ref="I5532:J5532" si="597">SUM(I5508,I5518,I5523,I5528,I5531)</f>
        <v>0</v>
      </c>
      <c r="J5532" s="1476">
        <f t="shared" si="597"/>
        <v>0</v>
      </c>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127</v>
      </c>
      <c r="C5533" s="371"/>
      <c r="D5533" s="2716">
        <f t="shared" si="589"/>
        <v>1</v>
      </c>
      <c r="E5533" s="2721">
        <v>1</v>
      </c>
      <c r="F5533" s="293"/>
      <c r="G5533" s="1474" t="s">
        <v>6157</v>
      </c>
      <c r="H5533" s="1476">
        <f>SUM(H5534:H5537)</f>
        <v>0</v>
      </c>
      <c r="I5533" s="1476">
        <f t="shared" ref="I5533:J5533" si="598">SUM(I5534:I5537)</f>
        <v>0</v>
      </c>
      <c r="J5533" s="1476">
        <f t="shared" si="598"/>
        <v>0</v>
      </c>
      <c r="K5533" s="1477">
        <f>SUM(H5533:J5533)</f>
        <v>0</v>
      </c>
      <c r="L5533" s="2211"/>
      <c r="M5533" s="2212"/>
      <c r="N5533" s="2210"/>
      <c r="O5533" s="2211"/>
      <c r="P5533" s="2212"/>
      <c r="Q5533" s="442"/>
      <c r="R5533" s="442"/>
      <c r="S5533" s="364"/>
      <c r="Z5533" s="609" t="s">
        <v>2129</v>
      </c>
      <c r="AA5533" s="609" t="s">
        <v>19</v>
      </c>
      <c r="AE5533" s="369" t="s">
        <v>2761</v>
      </c>
    </row>
    <row r="5534" spans="1:31" ht="18" hidden="1">
      <c r="A5534" s="2714"/>
      <c r="B5534" s="371">
        <v>128</v>
      </c>
      <c r="C5534" s="371"/>
      <c r="D5534" s="2716">
        <f t="shared" si="589"/>
        <v>1</v>
      </c>
      <c r="E5534" s="2721">
        <v>1</v>
      </c>
      <c r="F5534" s="293"/>
      <c r="G5534" s="1474" t="s">
        <v>6167</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129</v>
      </c>
      <c r="C5535" s="371"/>
      <c r="D5535" s="2716">
        <f t="shared" si="589"/>
        <v>1</v>
      </c>
      <c r="E5535" s="2721">
        <v>1</v>
      </c>
      <c r="F5535" s="293"/>
      <c r="G5535" s="1474" t="s">
        <v>467</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18" hidden="1">
      <c r="A5536" s="2714"/>
      <c r="B5536" s="371">
        <v>130</v>
      </c>
      <c r="C5536" s="371"/>
      <c r="D5536" s="2716">
        <f t="shared" si="589"/>
        <v>1</v>
      </c>
      <c r="E5536" s="2721">
        <v>1</v>
      </c>
      <c r="F5536" s="293"/>
      <c r="G5536" s="1474" t="s">
        <v>932</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131</v>
      </c>
      <c r="C5537" s="371" t="s">
        <v>6533</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36" hidden="1">
      <c r="A5538" s="2714"/>
      <c r="B5538" s="371">
        <v>132</v>
      </c>
      <c r="C5538" s="371"/>
      <c r="D5538" s="2716">
        <f t="shared" si="589"/>
        <v>1</v>
      </c>
      <c r="E5538" s="2721">
        <v>1</v>
      </c>
      <c r="F5538" s="293"/>
      <c r="G5538" s="1474" t="s">
        <v>6158</v>
      </c>
      <c r="H5538" s="2275"/>
      <c r="I5538" s="2275"/>
      <c r="J5538" s="2275"/>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133</v>
      </c>
      <c r="C5539" s="371" t="s">
        <v>2791</v>
      </c>
      <c r="D5539" s="2716">
        <f t="shared" si="589"/>
        <v>0</v>
      </c>
      <c r="E5539" s="2721">
        <v>1</v>
      </c>
      <c r="F5539" s="293"/>
      <c r="G5539" s="2589" t="s">
        <v>2792</v>
      </c>
      <c r="H5539" s="2275"/>
      <c r="I5539" s="2275"/>
      <c r="J5539" s="2275"/>
      <c r="K5539" s="1477">
        <f t="shared" si="592"/>
        <v>0</v>
      </c>
      <c r="L5539" s="2211"/>
      <c r="M5539" s="2212"/>
      <c r="N5539" s="2210"/>
      <c r="O5539" s="2211"/>
      <c r="P5539" s="2212"/>
      <c r="Q5539" s="442"/>
      <c r="R5539" s="442"/>
      <c r="S5539" s="364"/>
      <c r="Z5539" s="609" t="s">
        <v>2129</v>
      </c>
      <c r="AA5539" s="609" t="s">
        <v>19</v>
      </c>
      <c r="AE5539" s="369" t="s">
        <v>2761</v>
      </c>
    </row>
    <row r="5540" spans="1:31" ht="24" hidden="1">
      <c r="A5540" s="2714"/>
      <c r="B5540" s="371">
        <v>134</v>
      </c>
      <c r="C5540" s="371"/>
      <c r="D5540" s="2716">
        <f t="shared" si="589"/>
        <v>1</v>
      </c>
      <c r="E5540" s="2721">
        <v>1</v>
      </c>
      <c r="F5540" s="293"/>
      <c r="G5540" s="1474" t="s">
        <v>4557</v>
      </c>
      <c r="H5540" s="1476">
        <f>SUM(H5533,H5538,H5539)</f>
        <v>0</v>
      </c>
      <c r="I5540" s="1476">
        <f t="shared" ref="I5540:J5540" si="599">SUM(I5533,I5538,I5539)</f>
        <v>0</v>
      </c>
      <c r="J5540" s="1476">
        <f t="shared" si="599"/>
        <v>0</v>
      </c>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135</v>
      </c>
      <c r="C5541" s="371"/>
      <c r="D5541" s="2716">
        <f t="shared" si="589"/>
        <v>1</v>
      </c>
      <c r="E5541" s="2721" t="s">
        <v>41</v>
      </c>
      <c r="F5541" s="293"/>
      <c r="G5541" s="1474" t="s">
        <v>4558</v>
      </c>
      <c r="H5541" s="2275"/>
      <c r="I5541" s="2275"/>
      <c r="J5541" s="2275"/>
      <c r="K5541" s="2296"/>
      <c r="L5541" s="2211"/>
      <c r="M5541" s="2212"/>
      <c r="N5541" s="2210"/>
      <c r="O5541" s="2211"/>
      <c r="P5541" s="2212"/>
      <c r="Q5541" s="442"/>
      <c r="R5541" s="442"/>
      <c r="S5541" s="364"/>
      <c r="Z5541" s="609" t="s">
        <v>2129</v>
      </c>
      <c r="AA5541" s="609" t="s">
        <v>19</v>
      </c>
      <c r="AE5541" s="369" t="s">
        <v>2761</v>
      </c>
    </row>
    <row r="5542" spans="1:31" ht="18" hidden="1">
      <c r="A5542" s="2714"/>
      <c r="B5542" s="371">
        <v>136</v>
      </c>
      <c r="C5542" s="371"/>
      <c r="D5542" s="2716">
        <f t="shared" si="589"/>
        <v>1</v>
      </c>
      <c r="E5542" s="2721">
        <v>1</v>
      </c>
      <c r="F5542" s="293"/>
      <c r="G5542" s="1474" t="s">
        <v>4559</v>
      </c>
      <c r="H5542" s="2275"/>
      <c r="I5542" s="2275"/>
      <c r="J5542" s="2275"/>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137</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24" hidden="1">
      <c r="A5544" s="2714"/>
      <c r="B5544" s="371">
        <v>138</v>
      </c>
      <c r="C5544" s="371"/>
      <c r="D5544" s="2716">
        <f t="shared" si="589"/>
        <v>1</v>
      </c>
      <c r="E5544" s="2721">
        <v>1</v>
      </c>
      <c r="F5544" s="293"/>
      <c r="G5544" s="1474" t="s">
        <v>4560</v>
      </c>
      <c r="H5544" s="1476">
        <f>SUM(H5542:H5543)</f>
        <v>0</v>
      </c>
      <c r="I5544" s="1476">
        <f t="shared" ref="I5544:J5544" si="600">SUM(I5542:I5543)</f>
        <v>0</v>
      </c>
      <c r="J5544" s="1476">
        <f t="shared" si="600"/>
        <v>0</v>
      </c>
      <c r="K5544" s="1477">
        <f t="shared" si="592"/>
        <v>0</v>
      </c>
      <c r="L5544" s="2211"/>
      <c r="M5544" s="2212"/>
      <c r="N5544" s="2210"/>
      <c r="O5544" s="2211"/>
      <c r="P5544" s="2212"/>
      <c r="Q5544" s="442"/>
      <c r="R5544" s="442"/>
      <c r="S5544" s="364"/>
      <c r="Z5544" s="609" t="s">
        <v>2129</v>
      </c>
      <c r="AA5544" s="609" t="s">
        <v>19</v>
      </c>
      <c r="AE5544" s="369" t="s">
        <v>2761</v>
      </c>
    </row>
    <row r="5545" spans="1:31" ht="18" hidden="1">
      <c r="A5545" s="2714"/>
      <c r="B5545" s="371">
        <v>139</v>
      </c>
      <c r="C5545" s="371" t="s">
        <v>2791</v>
      </c>
      <c r="D5545" s="2716">
        <f t="shared" si="589"/>
        <v>0</v>
      </c>
      <c r="E5545" s="2721">
        <v>1</v>
      </c>
      <c r="F5545" s="293"/>
      <c r="G5545" s="2589" t="s">
        <v>2792</v>
      </c>
      <c r="H5545" s="2275"/>
      <c r="I5545" s="2275"/>
      <c r="J5545" s="2275"/>
      <c r="K5545" s="1477">
        <f t="shared" si="592"/>
        <v>0</v>
      </c>
      <c r="L5545" s="2211"/>
      <c r="M5545" s="2212"/>
      <c r="N5545" s="2210"/>
      <c r="O5545" s="2211"/>
      <c r="P5545" s="2212"/>
      <c r="Q5545" s="442"/>
      <c r="R5545" s="442"/>
      <c r="S5545" s="364"/>
      <c r="Z5545" s="609" t="s">
        <v>2129</v>
      </c>
      <c r="AA5545" s="609" t="s">
        <v>19</v>
      </c>
      <c r="AE5545" s="369" t="s">
        <v>2761</v>
      </c>
    </row>
    <row r="5546" spans="1:31" ht="18" hidden="1">
      <c r="A5546" s="2714"/>
      <c r="B5546" s="371">
        <v>140</v>
      </c>
      <c r="C5546" s="371" t="s">
        <v>6533</v>
      </c>
      <c r="D5546" s="2716">
        <f t="shared" si="589"/>
        <v>0</v>
      </c>
      <c r="E5546" s="2721">
        <v>1</v>
      </c>
      <c r="F5546" s="293"/>
      <c r="G5546" s="2589" t="s">
        <v>2792</v>
      </c>
      <c r="H5546" s="2275"/>
      <c r="I5546" s="2275"/>
      <c r="J5546" s="2275"/>
      <c r="K5546" s="1477">
        <f t="shared" si="592"/>
        <v>0</v>
      </c>
      <c r="L5546" s="2211"/>
      <c r="M5546" s="2212"/>
      <c r="N5546" s="2210"/>
      <c r="O5546" s="2211"/>
      <c r="P5546" s="2212"/>
      <c r="Q5546" s="442"/>
      <c r="R5546" s="442"/>
      <c r="S5546" s="364"/>
      <c r="Z5546" s="609" t="s">
        <v>2129</v>
      </c>
      <c r="AA5546" s="609" t="s">
        <v>19</v>
      </c>
      <c r="AE5546" s="369" t="s">
        <v>2761</v>
      </c>
    </row>
    <row r="5547" spans="1:31" ht="24" hidden="1">
      <c r="A5547" s="2714"/>
      <c r="B5547" s="371">
        <v>141</v>
      </c>
      <c r="C5547" s="371"/>
      <c r="D5547" s="2716">
        <f t="shared" si="589"/>
        <v>1</v>
      </c>
      <c r="E5547" s="2721">
        <v>1</v>
      </c>
      <c r="F5547" s="293"/>
      <c r="G5547" s="1474" t="s">
        <v>4561</v>
      </c>
      <c r="H5547" s="1476">
        <f>SUM(H5545:H5546)</f>
        <v>0</v>
      </c>
      <c r="I5547" s="1476">
        <f t="shared" ref="I5547:J5547" si="601">SUM(I5545:I5546)</f>
        <v>0</v>
      </c>
      <c r="J5547" s="1476">
        <f t="shared" si="601"/>
        <v>0</v>
      </c>
      <c r="K5547" s="1477">
        <f t="shared" si="592"/>
        <v>0</v>
      </c>
      <c r="L5547" s="2211"/>
      <c r="M5547" s="2212"/>
      <c r="N5547" s="2210"/>
      <c r="O5547" s="2211"/>
      <c r="P5547" s="2212"/>
      <c r="Q5547" s="442"/>
      <c r="R5547" s="442"/>
      <c r="S5547" s="364"/>
      <c r="Z5547" s="609" t="s">
        <v>2129</v>
      </c>
      <c r="AA5547" s="609" t="s">
        <v>19</v>
      </c>
      <c r="AE5547" s="369" t="s">
        <v>2761</v>
      </c>
    </row>
    <row r="5548" spans="1:31" ht="18.75" hidden="1" thickBot="1">
      <c r="A5548" s="2714"/>
      <c r="B5548" s="371"/>
      <c r="C5548" s="371"/>
      <c r="D5548" s="2716">
        <f t="shared" si="589"/>
        <v>0</v>
      </c>
      <c r="E5548" s="2721" t="s">
        <v>3595</v>
      </c>
      <c r="F5548" s="293"/>
      <c r="G5548" s="2622"/>
      <c r="H5548" s="2624"/>
      <c r="I5548" s="2624"/>
      <c r="J5548" s="2624"/>
      <c r="K5548" s="2623"/>
      <c r="L5548" s="2211"/>
      <c r="M5548" s="2212"/>
      <c r="N5548" s="2210"/>
      <c r="O5548" s="2211"/>
      <c r="P5548" s="2212"/>
      <c r="Q5548" s="442"/>
      <c r="R5548" s="442"/>
      <c r="S5548" s="364"/>
      <c r="Z5548" s="609" t="s">
        <v>2129</v>
      </c>
      <c r="AA5548" s="609" t="s">
        <v>19</v>
      </c>
      <c r="AE5548" s="369" t="s">
        <v>2761</v>
      </c>
    </row>
    <row r="5549" spans="1:31" ht="18" hidden="1">
      <c r="A5549" s="2714"/>
      <c r="B5549" s="371"/>
      <c r="C5549" s="371" t="s">
        <v>2755</v>
      </c>
      <c r="D5549" s="2716"/>
      <c r="F5549" s="293"/>
      <c r="G5549" s="376"/>
      <c r="H5549" s="1576"/>
      <c r="I5549" s="396"/>
      <c r="J5549" s="315"/>
      <c r="K5549" s="423"/>
      <c r="L5549" s="2211"/>
      <c r="M5549" s="2212"/>
      <c r="N5549" s="2210"/>
      <c r="O5549" s="2211"/>
      <c r="P5549" s="2212"/>
      <c r="Q5549" s="442"/>
      <c r="R5549" s="442"/>
      <c r="S5549" s="364"/>
      <c r="Z5549" s="609" t="s">
        <v>2129</v>
      </c>
      <c r="AA5549" s="609" t="s">
        <v>19</v>
      </c>
      <c r="AE5549" s="369" t="s">
        <v>2761</v>
      </c>
    </row>
    <row r="5550" spans="1:31" ht="48">
      <c r="A5550" s="2714" t="s">
        <v>2149</v>
      </c>
      <c r="B5550" s="371">
        <v>2</v>
      </c>
      <c r="C5550" s="371"/>
      <c r="D5550" s="2716" t="str">
        <f>VLOOKUP($A5550,Sheet_NoteList,2,0)</f>
        <v>持续和非持续第二层次公允价值计量项目采用的估值技术和重要参数的定性及定量信息</v>
      </c>
      <c r="E5550" s="2716" t="s">
        <v>2742</v>
      </c>
      <c r="F5550" s="293"/>
      <c r="G5550" s="372" t="str">
        <f>"("&amp;B5550&amp;")"&amp;D5550</f>
        <v>(2)持续和非持续第二层次公允价值计量项目采用的估值技术和重要参数的定性及定量信息</v>
      </c>
      <c r="H5550" s="1517" t="str">
        <f>$A5550</f>
        <v>9331i</v>
      </c>
      <c r="I5550" s="343" t="s">
        <v>2743</v>
      </c>
      <c r="J5550" s="301" t="s">
        <v>2744</v>
      </c>
      <c r="K5550" s="2210">
        <f>H5557</f>
        <v>0</v>
      </c>
      <c r="L5550" s="349"/>
      <c r="M5550" s="301"/>
      <c r="N5550" s="391"/>
      <c r="O5550" s="349"/>
      <c r="P5550" s="301"/>
      <c r="S5550" s="364"/>
      <c r="Z5550" s="609" t="s">
        <v>2129</v>
      </c>
      <c r="AA5550" s="609" t="s">
        <v>19</v>
      </c>
    </row>
    <row r="5551" spans="1:31" ht="0.75" customHeight="1" thickBot="1">
      <c r="A5551" s="2714"/>
      <c r="B5551" s="371"/>
      <c r="C5551" s="371"/>
      <c r="D5551" s="2716"/>
      <c r="E5551" s="586"/>
      <c r="F5551" s="586"/>
      <c r="G5551" s="2224" t="s">
        <v>4562</v>
      </c>
      <c r="H5551" s="371" t="s">
        <v>2747</v>
      </c>
      <c r="I5551" s="371" t="s">
        <v>4563</v>
      </c>
      <c r="J5551" s="371" t="s">
        <v>4564</v>
      </c>
      <c r="K5551" s="428"/>
      <c r="L5551" s="428"/>
      <c r="M5551" s="433"/>
      <c r="N5551" s="428"/>
      <c r="O5551" s="428"/>
      <c r="P5551" s="433"/>
      <c r="Q5551" s="442"/>
      <c r="R5551" s="443"/>
      <c r="S5551" s="364"/>
      <c r="Z5551" s="609" t="s">
        <v>2129</v>
      </c>
      <c r="AA5551" s="609" t="s">
        <v>19</v>
      </c>
    </row>
    <row r="5552" spans="1:31" ht="24">
      <c r="A5552" s="2714"/>
      <c r="B5552" s="371"/>
      <c r="C5552" s="371"/>
      <c r="D5552" s="2716"/>
      <c r="E5552" s="586" t="s">
        <v>2749</v>
      </c>
      <c r="F5552" s="414"/>
      <c r="G5552" s="2453" t="s">
        <v>4565</v>
      </c>
      <c r="H5552" s="2461" t="str">
        <f>$W$2&amp;"公允价值"</f>
        <v>2019年12月31日公允价值</v>
      </c>
      <c r="I5552" s="2461" t="s">
        <v>4566</v>
      </c>
      <c r="J5552" s="2462" t="s">
        <v>4567</v>
      </c>
      <c r="K5552" s="355" t="s">
        <v>5349</v>
      </c>
      <c r="L5552" s="434"/>
      <c r="M5552" s="435"/>
      <c r="N5552" s="434"/>
      <c r="O5552" s="434"/>
      <c r="P5552" s="435"/>
      <c r="Q5552" s="442"/>
      <c r="R5552" s="443"/>
      <c r="S5552" s="364"/>
      <c r="Z5552" s="609" t="s">
        <v>2129</v>
      </c>
      <c r="AA5552" s="609" t="s">
        <v>19</v>
      </c>
    </row>
    <row r="5553" spans="1:27" ht="18">
      <c r="A5553" s="2714"/>
      <c r="B5553" s="371">
        <v>101</v>
      </c>
      <c r="C5553" s="371"/>
      <c r="D5553" s="2716">
        <f>IF(OR(G5553="*",G5553="",G5553=0),0,COUNTIF($G$5553:$G$5557,G5553))</f>
        <v>1</v>
      </c>
      <c r="E5553" s="2721" t="s">
        <v>41</v>
      </c>
      <c r="F5553" s="293"/>
      <c r="G5553" s="1474" t="s">
        <v>4568</v>
      </c>
      <c r="H5553" s="2275"/>
      <c r="I5553" s="2298"/>
      <c r="J5553" s="2276"/>
      <c r="K5553" s="439"/>
      <c r="L5553" s="437"/>
      <c r="M5553" s="438"/>
      <c r="N5553" s="439"/>
      <c r="O5553" s="437"/>
      <c r="P5553" s="438"/>
      <c r="Q5553" s="442"/>
      <c r="R5553" s="443"/>
      <c r="S5553" s="364"/>
      <c r="Z5553" s="609" t="s">
        <v>2129</v>
      </c>
      <c r="AA5553" s="609" t="s">
        <v>19</v>
      </c>
    </row>
    <row r="5554" spans="1:27" ht="38.25">
      <c r="A5554" s="2714"/>
      <c r="B5554" s="371">
        <v>102</v>
      </c>
      <c r="C5554" s="371"/>
      <c r="D5554" s="2716">
        <f>IF(OR(G5554="*",G5554="",G5554=0),0,COUNTIF($G$5553:$G$5557,G5554))</f>
        <v>1</v>
      </c>
      <c r="E5554" s="2721">
        <v>1</v>
      </c>
      <c r="F5554" s="293"/>
      <c r="G5554" s="1474" t="s">
        <v>90</v>
      </c>
      <c r="H5554" s="2275"/>
      <c r="I5554" s="2298" t="s">
        <v>4569</v>
      </c>
      <c r="J5554" s="2494" t="s">
        <v>4570</v>
      </c>
      <c r="K5554" s="439"/>
      <c r="L5554" s="437"/>
      <c r="M5554" s="438"/>
      <c r="N5554" s="439"/>
      <c r="O5554" s="437"/>
      <c r="P5554" s="438"/>
      <c r="Q5554" s="442"/>
      <c r="R5554" s="443"/>
      <c r="S5554" s="364"/>
      <c r="Z5554" s="609" t="s">
        <v>2129</v>
      </c>
      <c r="AA5554" s="609" t="s">
        <v>19</v>
      </c>
    </row>
    <row r="5555" spans="1:27" ht="38.25">
      <c r="A5555" s="2714"/>
      <c r="B5555" s="371">
        <v>103</v>
      </c>
      <c r="C5555" s="371"/>
      <c r="D5555" s="2716">
        <f>IF(OR(G5555="*",G5555="",G5555=0),0,COUNTIF($G$5553:$G$5557,G5555))</f>
        <v>1</v>
      </c>
      <c r="E5555" s="2721">
        <v>1</v>
      </c>
      <c r="F5555" s="293"/>
      <c r="G5555" s="1474" t="s">
        <v>467</v>
      </c>
      <c r="H5555" s="2275"/>
      <c r="I5555" s="2298" t="s">
        <v>4569</v>
      </c>
      <c r="J5555" s="2494" t="s">
        <v>4570</v>
      </c>
      <c r="K5555" s="439"/>
      <c r="L5555" s="437"/>
      <c r="M5555" s="438"/>
      <c r="N5555" s="439"/>
      <c r="O5555" s="437"/>
      <c r="P5555" s="438"/>
      <c r="Q5555" s="442"/>
      <c r="R5555" s="443"/>
      <c r="S5555" s="364"/>
      <c r="Z5555" s="609" t="s">
        <v>2129</v>
      </c>
      <c r="AA5555" s="609" t="s">
        <v>19</v>
      </c>
    </row>
    <row r="5556" spans="1:27" ht="18">
      <c r="A5556" s="2714"/>
      <c r="B5556" s="371">
        <v>104</v>
      </c>
      <c r="C5556" s="371" t="s">
        <v>2791</v>
      </c>
      <c r="D5556" s="2716">
        <f>IF(OR(G5556="*",G5556="",G5556=0),0,COUNTIF($G$5553:$G$5557,G5556))</f>
        <v>0</v>
      </c>
      <c r="E5556" s="2721">
        <v>1</v>
      </c>
      <c r="F5556" s="293"/>
      <c r="G5556" s="2467" t="s">
        <v>2792</v>
      </c>
      <c r="H5556" s="2275"/>
      <c r="I5556" s="2298"/>
      <c r="J5556" s="2276"/>
      <c r="K5556" s="439"/>
      <c r="L5556" s="437"/>
      <c r="M5556" s="438"/>
      <c r="N5556" s="439"/>
      <c r="O5556" s="437"/>
      <c r="P5556" s="438"/>
      <c r="Q5556" s="442"/>
      <c r="R5556" s="443"/>
      <c r="S5556" s="364"/>
      <c r="Z5556" s="609" t="s">
        <v>2129</v>
      </c>
      <c r="AA5556" s="609" t="s">
        <v>19</v>
      </c>
    </row>
    <row r="5557" spans="1:27" ht="18.75" thickBot="1">
      <c r="A5557" s="2714"/>
      <c r="B5557" s="371"/>
      <c r="C5557" s="371"/>
      <c r="D5557" s="2716">
        <f>IF(OR(G5557="*",G5557="",G5557=0),0,COUNTIF($G$5553:$G$5557,G5557))</f>
        <v>0</v>
      </c>
      <c r="E5557" s="2721" t="s">
        <v>6556</v>
      </c>
      <c r="F5557" s="293"/>
      <c r="G5557" s="2429"/>
      <c r="H5557" s="2308"/>
      <c r="I5557" s="2241"/>
      <c r="J5557" s="2244"/>
      <c r="K5557" s="439"/>
      <c r="L5557" s="437"/>
      <c r="M5557" s="440"/>
      <c r="N5557" s="439"/>
      <c r="O5557" s="437"/>
      <c r="P5557" s="440"/>
      <c r="Q5557" s="442"/>
      <c r="R5557" s="443"/>
      <c r="S5557" s="364"/>
      <c r="Z5557" s="609" t="s">
        <v>2129</v>
      </c>
      <c r="AA5557" s="609" t="s">
        <v>19</v>
      </c>
    </row>
    <row r="5558" spans="1:27" ht="18">
      <c r="A5558" s="2714"/>
      <c r="B5558" s="371"/>
      <c r="C5558" s="371" t="s">
        <v>2755</v>
      </c>
      <c r="D5558" s="2716"/>
      <c r="F5558" s="293"/>
      <c r="G5558" s="376"/>
      <c r="H5558" s="315"/>
      <c r="I5558" s="432"/>
      <c r="J5558" s="393"/>
      <c r="K5558" s="426"/>
      <c r="L5558" s="427"/>
      <c r="M5558" s="425"/>
      <c r="N5558" s="426"/>
      <c r="O5558" s="427"/>
      <c r="P5558" s="425"/>
      <c r="Q5558" s="442"/>
      <c r="R5558" s="443"/>
      <c r="S5558" s="364"/>
      <c r="Z5558" s="609" t="s">
        <v>2129</v>
      </c>
      <c r="AA5558" s="609" t="s">
        <v>19</v>
      </c>
    </row>
    <row r="5559" spans="1:27" ht="48">
      <c r="A5559" s="2714" t="s">
        <v>2160</v>
      </c>
      <c r="B5559" s="371">
        <v>3</v>
      </c>
      <c r="C5559" s="371"/>
      <c r="D5559" s="2716" t="str">
        <f>VLOOKUP($A5559,Sheet_NoteList,2,0)</f>
        <v>持续和非持续第三层次公允价值计量项目采用的估值技术和重要参数的定性及定量信息</v>
      </c>
      <c r="E5559" s="2716" t="s">
        <v>2742</v>
      </c>
      <c r="F5559" s="293"/>
      <c r="G5559" s="372" t="str">
        <f>"("&amp;B5559&amp;")"&amp;D5559</f>
        <v>(3)持续和非持续第三层次公允价值计量项目采用的估值技术和重要参数的定性及定量信息</v>
      </c>
      <c r="H5559" s="1517" t="str">
        <f>$A5559</f>
        <v>9331j</v>
      </c>
      <c r="I5559" s="343" t="s">
        <v>2743</v>
      </c>
      <c r="J5559" s="368" t="s">
        <v>2744</v>
      </c>
      <c r="K5559" s="2210">
        <f>H5575</f>
        <v>0</v>
      </c>
      <c r="L5559" s="349"/>
      <c r="M5559" s="301"/>
      <c r="N5559" s="391"/>
      <c r="O5559" s="349"/>
      <c r="P5559" s="301"/>
      <c r="S5559" s="364"/>
      <c r="Z5559" s="609" t="s">
        <v>2129</v>
      </c>
      <c r="AA5559" s="609" t="s">
        <v>19</v>
      </c>
    </row>
    <row r="5560" spans="1:27" ht="0.75" customHeight="1" thickBot="1">
      <c r="A5560" s="2714"/>
      <c r="B5560" s="371"/>
      <c r="C5560" s="371"/>
      <c r="D5560" s="2716"/>
      <c r="F5560" s="371"/>
      <c r="G5560" s="405" t="s">
        <v>4571</v>
      </c>
      <c r="H5560" s="371" t="s">
        <v>2747</v>
      </c>
      <c r="I5560" s="371" t="s">
        <v>4572</v>
      </c>
      <c r="J5560" s="371" t="s">
        <v>3671</v>
      </c>
      <c r="K5560" s="547" t="s">
        <v>4472</v>
      </c>
      <c r="L5560" s="428"/>
      <c r="M5560" s="433"/>
      <c r="N5560" s="428"/>
      <c r="O5560" s="428"/>
      <c r="P5560" s="433"/>
      <c r="Q5560" s="442"/>
      <c r="R5560" s="443"/>
      <c r="S5560" s="364"/>
      <c r="Z5560" s="609" t="s">
        <v>2129</v>
      </c>
      <c r="AA5560" s="609" t="s">
        <v>19</v>
      </c>
    </row>
    <row r="5561" spans="1:27" ht="25.5">
      <c r="A5561" s="2714"/>
      <c r="B5561" s="371"/>
      <c r="C5561" s="371"/>
      <c r="D5561" s="2716"/>
      <c r="E5561" s="2716" t="s">
        <v>2749</v>
      </c>
      <c r="F5561" s="293"/>
      <c r="G5561" s="2454" t="s">
        <v>4573</v>
      </c>
      <c r="H5561" s="2461" t="str">
        <f>$W$2&amp;"公允价值"</f>
        <v>2019年12月31日公允价值</v>
      </c>
      <c r="I5561" s="2461" t="s">
        <v>4566</v>
      </c>
      <c r="J5561" s="2461" t="s">
        <v>4574</v>
      </c>
      <c r="K5561" s="2470" t="s">
        <v>4575</v>
      </c>
      <c r="L5561" s="355" t="s">
        <v>5349</v>
      </c>
      <c r="M5561" s="435"/>
      <c r="N5561" s="434"/>
      <c r="O5561" s="434"/>
      <c r="P5561" s="435"/>
      <c r="Q5561" s="442"/>
      <c r="R5561" s="443"/>
      <c r="S5561" s="364"/>
      <c r="Z5561" s="609" t="s">
        <v>2129</v>
      </c>
      <c r="AA5561" s="609" t="s">
        <v>19</v>
      </c>
    </row>
    <row r="5562" spans="1:27" ht="18">
      <c r="A5562" s="2714"/>
      <c r="B5562" s="371">
        <v>101</v>
      </c>
      <c r="C5562" s="371"/>
      <c r="D5562" s="2716">
        <f t="shared" ref="D5562:D5575" si="602">IF(OR(G5562="*",G5562="",G5562=0),0,COUNTIF($G$5562:$G$5575,G5562))</f>
        <v>1</v>
      </c>
      <c r="E5562" s="2721">
        <v>1</v>
      </c>
      <c r="F5562" s="293"/>
      <c r="G5562" s="319" t="s">
        <v>3479</v>
      </c>
      <c r="H5562" s="309"/>
      <c r="I5562" s="430"/>
      <c r="J5562" s="360"/>
      <c r="K5562" s="436"/>
      <c r="L5562" s="437"/>
      <c r="M5562" s="438"/>
      <c r="N5562" s="439"/>
      <c r="O5562" s="437"/>
      <c r="P5562" s="438"/>
      <c r="Q5562" s="442"/>
      <c r="R5562" s="443"/>
      <c r="S5562" s="364"/>
      <c r="Z5562" s="609" t="s">
        <v>2129</v>
      </c>
      <c r="AA5562" s="609" t="s">
        <v>19</v>
      </c>
    </row>
    <row r="5563" spans="1:27" ht="51">
      <c r="A5563" s="2714"/>
      <c r="B5563" s="371">
        <v>102</v>
      </c>
      <c r="C5563" s="371"/>
      <c r="D5563" s="2716">
        <f t="shared" si="602"/>
        <v>1</v>
      </c>
      <c r="E5563" s="2721">
        <v>1</v>
      </c>
      <c r="F5563" s="293"/>
      <c r="G5563" s="1518" t="s">
        <v>4576</v>
      </c>
      <c r="H5563" s="309"/>
      <c r="I5563" s="624" t="s">
        <v>4577</v>
      </c>
      <c r="J5563" s="624" t="s">
        <v>4578</v>
      </c>
      <c r="K5563" s="623" t="s">
        <v>4579</v>
      </c>
      <c r="L5563" s="437"/>
      <c r="M5563" s="438"/>
      <c r="N5563" s="439"/>
      <c r="O5563" s="437"/>
      <c r="P5563" s="438"/>
      <c r="Q5563" s="442"/>
      <c r="R5563" s="443"/>
      <c r="S5563" s="364"/>
      <c r="Z5563" s="609" t="s">
        <v>2129</v>
      </c>
      <c r="AA5563" s="609" t="s">
        <v>19</v>
      </c>
    </row>
    <row r="5564" spans="1:27" ht="76.5">
      <c r="A5564" s="2714"/>
      <c r="B5564" s="371">
        <v>103</v>
      </c>
      <c r="C5564" s="371"/>
      <c r="D5564" s="2716">
        <f t="shared" si="602"/>
        <v>1</v>
      </c>
      <c r="E5564" s="2721">
        <v>1</v>
      </c>
      <c r="F5564" s="293"/>
      <c r="G5564" s="1518" t="s">
        <v>5360</v>
      </c>
      <c r="H5564" s="309"/>
      <c r="I5564" s="624" t="s">
        <v>4580</v>
      </c>
      <c r="J5564" s="624" t="s">
        <v>4581</v>
      </c>
      <c r="K5564" s="623" t="s">
        <v>4582</v>
      </c>
      <c r="L5564" s="437"/>
      <c r="M5564" s="438"/>
      <c r="N5564" s="439"/>
      <c r="O5564" s="437"/>
      <c r="P5564" s="438"/>
      <c r="Q5564" s="442"/>
      <c r="R5564" s="443"/>
      <c r="S5564" s="364"/>
      <c r="Z5564" s="609" t="s">
        <v>2129</v>
      </c>
      <c r="AA5564" s="609" t="s">
        <v>19</v>
      </c>
    </row>
    <row r="5565" spans="1:27" ht="18">
      <c r="A5565" s="2714"/>
      <c r="B5565" s="371">
        <v>104</v>
      </c>
      <c r="C5565" s="371"/>
      <c r="D5565" s="2716">
        <f t="shared" si="602"/>
        <v>1</v>
      </c>
      <c r="E5565" s="2721">
        <v>1</v>
      </c>
      <c r="F5565" s="293"/>
      <c r="G5565" s="319" t="s">
        <v>4583</v>
      </c>
      <c r="H5565" s="309"/>
      <c r="I5565" s="624" t="s">
        <v>4584</v>
      </c>
      <c r="J5565" s="624" t="s">
        <v>2760</v>
      </c>
      <c r="K5565" s="623" t="s">
        <v>4585</v>
      </c>
      <c r="L5565" s="437"/>
      <c r="M5565" s="438"/>
      <c r="N5565" s="439"/>
      <c r="O5565" s="437"/>
      <c r="P5565" s="438"/>
      <c r="Q5565" s="442"/>
      <c r="R5565" s="443"/>
      <c r="S5565" s="364"/>
      <c r="Z5565" s="609" t="s">
        <v>2129</v>
      </c>
      <c r="AA5565" s="609" t="s">
        <v>19</v>
      </c>
    </row>
    <row r="5566" spans="1:27" ht="18">
      <c r="A5566" s="2714"/>
      <c r="B5566" s="371">
        <v>105</v>
      </c>
      <c r="C5566" s="371"/>
      <c r="D5566" s="2716">
        <f t="shared" si="602"/>
        <v>1</v>
      </c>
      <c r="E5566" s="2721" t="s">
        <v>41</v>
      </c>
      <c r="F5566" s="293"/>
      <c r="G5566" s="319" t="s">
        <v>4586</v>
      </c>
      <c r="H5566" s="309"/>
      <c r="I5566" s="624"/>
      <c r="J5566" s="624"/>
      <c r="K5566" s="623"/>
      <c r="L5566" s="437"/>
      <c r="M5566" s="438"/>
      <c r="N5566" s="439"/>
      <c r="O5566" s="437"/>
      <c r="P5566" s="438"/>
      <c r="Q5566" s="442"/>
      <c r="R5566" s="443"/>
      <c r="S5566" s="364"/>
      <c r="Z5566" s="609" t="s">
        <v>2129</v>
      </c>
      <c r="AA5566" s="609" t="s">
        <v>19</v>
      </c>
    </row>
    <row r="5567" spans="1:27" ht="51">
      <c r="A5567" s="2714"/>
      <c r="B5567" s="371">
        <v>106</v>
      </c>
      <c r="C5567" s="371"/>
      <c r="D5567" s="2716">
        <f t="shared" si="602"/>
        <v>1</v>
      </c>
      <c r="E5567" s="2721">
        <v>1</v>
      </c>
      <c r="F5567" s="293"/>
      <c r="G5567" s="319" t="s">
        <v>4587</v>
      </c>
      <c r="H5567" s="309"/>
      <c r="I5567" s="624" t="s">
        <v>4580</v>
      </c>
      <c r="J5567" s="624" t="s">
        <v>4588</v>
      </c>
      <c r="K5567" s="623" t="s">
        <v>4589</v>
      </c>
      <c r="L5567" s="437"/>
      <c r="M5567" s="438"/>
      <c r="N5567" s="439"/>
      <c r="O5567" s="437"/>
      <c r="P5567" s="438"/>
      <c r="Q5567" s="442"/>
      <c r="R5567" s="443"/>
      <c r="S5567" s="364"/>
      <c r="Z5567" s="609" t="s">
        <v>2129</v>
      </c>
      <c r="AA5567" s="609" t="s">
        <v>19</v>
      </c>
    </row>
    <row r="5568" spans="1:27" ht="25.5">
      <c r="A5568" s="2714"/>
      <c r="B5568" s="371">
        <v>107</v>
      </c>
      <c r="C5568" s="371"/>
      <c r="D5568" s="2716">
        <f t="shared" si="602"/>
        <v>1</v>
      </c>
      <c r="E5568" s="2721">
        <v>1</v>
      </c>
      <c r="F5568" s="293"/>
      <c r="G5568" s="319" t="s">
        <v>4590</v>
      </c>
      <c r="H5568" s="309"/>
      <c r="I5568" s="624" t="s">
        <v>4591</v>
      </c>
      <c r="J5568" s="624" t="s">
        <v>4592</v>
      </c>
      <c r="K5568" s="623" t="s">
        <v>4593</v>
      </c>
      <c r="L5568" s="437"/>
      <c r="M5568" s="438"/>
      <c r="N5568" s="439"/>
      <c r="O5568" s="437"/>
      <c r="P5568" s="438"/>
      <c r="Q5568" s="442"/>
      <c r="R5568" s="443"/>
      <c r="S5568" s="364"/>
      <c r="Z5568" s="609" t="s">
        <v>2129</v>
      </c>
      <c r="AA5568" s="609" t="s">
        <v>19</v>
      </c>
    </row>
    <row r="5569" spans="1:27" ht="18">
      <c r="A5569" s="2714"/>
      <c r="B5569" s="371">
        <v>108</v>
      </c>
      <c r="C5569" s="371"/>
      <c r="D5569" s="2716">
        <f t="shared" si="602"/>
        <v>1</v>
      </c>
      <c r="E5569" s="2721" t="s">
        <v>41</v>
      </c>
      <c r="F5569" s="293"/>
      <c r="G5569" s="319" t="s">
        <v>4568</v>
      </c>
      <c r="H5569" s="309"/>
      <c r="I5569" s="624"/>
      <c r="J5569" s="624"/>
      <c r="K5569" s="623"/>
      <c r="L5569" s="437"/>
      <c r="M5569" s="438"/>
      <c r="N5569" s="439"/>
      <c r="O5569" s="437"/>
      <c r="P5569" s="438"/>
      <c r="Q5569" s="442"/>
      <c r="R5569" s="443"/>
      <c r="S5569" s="364"/>
      <c r="Z5569" s="609" t="s">
        <v>2129</v>
      </c>
      <c r="AA5569" s="609" t="s">
        <v>19</v>
      </c>
    </row>
    <row r="5570" spans="1:27" ht="38.25">
      <c r="A5570" s="2714"/>
      <c r="B5570" s="371">
        <v>109</v>
      </c>
      <c r="C5570" s="371"/>
      <c r="D5570" s="2716">
        <f t="shared" si="602"/>
        <v>1</v>
      </c>
      <c r="E5570" s="2721">
        <v>1</v>
      </c>
      <c r="F5570" s="293"/>
      <c r="G5570" s="319" t="s">
        <v>4594</v>
      </c>
      <c r="H5570" s="309"/>
      <c r="I5570" s="624" t="s">
        <v>4595</v>
      </c>
      <c r="J5570" s="624" t="s">
        <v>4596</v>
      </c>
      <c r="K5570" s="623" t="s">
        <v>4597</v>
      </c>
      <c r="L5570" s="437"/>
      <c r="M5570" s="438"/>
      <c r="N5570" s="439"/>
      <c r="O5570" s="437"/>
      <c r="P5570" s="438"/>
      <c r="Q5570" s="442"/>
      <c r="R5570" s="443"/>
      <c r="S5570" s="364"/>
      <c r="Z5570" s="609" t="s">
        <v>2129</v>
      </c>
      <c r="AA5570" s="609" t="s">
        <v>19</v>
      </c>
    </row>
    <row r="5571" spans="1:27" ht="18">
      <c r="A5571" s="2714"/>
      <c r="B5571" s="371">
        <v>110</v>
      </c>
      <c r="C5571" s="371"/>
      <c r="D5571" s="2716">
        <f t="shared" si="602"/>
        <v>1</v>
      </c>
      <c r="E5571" s="2721" t="s">
        <v>41</v>
      </c>
      <c r="F5571" s="293"/>
      <c r="G5571" s="319" t="s">
        <v>4598</v>
      </c>
      <c r="H5571" s="309"/>
      <c r="I5571" s="624"/>
      <c r="J5571" s="624"/>
      <c r="K5571" s="623"/>
      <c r="L5571" s="437"/>
      <c r="M5571" s="438"/>
      <c r="N5571" s="439"/>
      <c r="O5571" s="437"/>
      <c r="P5571" s="438"/>
      <c r="Q5571" s="442"/>
      <c r="R5571" s="443"/>
      <c r="S5571" s="364"/>
      <c r="Z5571" s="609" t="s">
        <v>2129</v>
      </c>
      <c r="AA5571" s="609" t="s">
        <v>19</v>
      </c>
    </row>
    <row r="5572" spans="1:27" ht="51">
      <c r="A5572" s="2714"/>
      <c r="B5572" s="371">
        <v>111</v>
      </c>
      <c r="C5572" s="371"/>
      <c r="D5572" s="2716">
        <f t="shared" si="602"/>
        <v>1</v>
      </c>
      <c r="E5572" s="2721">
        <v>1</v>
      </c>
      <c r="F5572" s="293"/>
      <c r="G5572" s="3269" t="s">
        <v>4599</v>
      </c>
      <c r="H5572" s="309"/>
      <c r="I5572" s="624" t="s">
        <v>4580</v>
      </c>
      <c r="J5572" s="624" t="s">
        <v>4600</v>
      </c>
      <c r="K5572" s="623" t="s">
        <v>4601</v>
      </c>
      <c r="L5572" s="437"/>
      <c r="M5572" s="438"/>
      <c r="N5572" s="439"/>
      <c r="O5572" s="437"/>
      <c r="P5572" s="438"/>
      <c r="Q5572" s="442"/>
      <c r="R5572" s="443"/>
      <c r="S5572" s="364"/>
      <c r="Z5572" s="609" t="s">
        <v>2129</v>
      </c>
      <c r="AA5572" s="609" t="s">
        <v>19</v>
      </c>
    </row>
    <row r="5573" spans="1:27" ht="25.5">
      <c r="A5573" s="2714"/>
      <c r="B5573" s="371">
        <v>112</v>
      </c>
      <c r="C5573" s="371"/>
      <c r="D5573" s="2716">
        <f t="shared" si="602"/>
        <v>0</v>
      </c>
      <c r="E5573" s="2721">
        <v>1</v>
      </c>
      <c r="F5573" s="293"/>
      <c r="G5573" s="3269"/>
      <c r="H5573" s="309"/>
      <c r="I5573" s="624" t="s">
        <v>4602</v>
      </c>
      <c r="J5573" s="624" t="s">
        <v>4603</v>
      </c>
      <c r="K5573" s="623">
        <v>60000</v>
      </c>
      <c r="L5573" s="437"/>
      <c r="M5573" s="438"/>
      <c r="N5573" s="439"/>
      <c r="O5573" s="437"/>
      <c r="P5573" s="438"/>
      <c r="Q5573" s="442"/>
      <c r="R5573" s="443"/>
      <c r="S5573" s="364"/>
      <c r="Z5573" s="609" t="s">
        <v>2129</v>
      </c>
      <c r="AA5573" s="609" t="s">
        <v>19</v>
      </c>
    </row>
    <row r="5574" spans="1:27" ht="18">
      <c r="A5574" s="2714"/>
      <c r="B5574" s="371">
        <v>113</v>
      </c>
      <c r="C5574" s="371" t="s">
        <v>2791</v>
      </c>
      <c r="D5574" s="2716">
        <f t="shared" si="602"/>
        <v>0</v>
      </c>
      <c r="E5574" s="2721">
        <v>1</v>
      </c>
      <c r="F5574" s="293"/>
      <c r="G5574" s="319" t="s">
        <v>2792</v>
      </c>
      <c r="H5574" s="309"/>
      <c r="I5574" s="430"/>
      <c r="J5574" s="360"/>
      <c r="K5574" s="436"/>
      <c r="L5574" s="437"/>
      <c r="M5574" s="438"/>
      <c r="N5574" s="439"/>
      <c r="O5574" s="437"/>
      <c r="P5574" s="438"/>
      <c r="Q5574" s="442"/>
      <c r="R5574" s="443"/>
      <c r="S5574" s="364"/>
      <c r="Z5574" s="609" t="s">
        <v>2129</v>
      </c>
      <c r="AA5574" s="609" t="s">
        <v>19</v>
      </c>
    </row>
    <row r="5575" spans="1:27" ht="18.75" thickBot="1">
      <c r="A5575" s="2714"/>
      <c r="B5575" s="371"/>
      <c r="C5575" s="371"/>
      <c r="D5575" s="2716">
        <f t="shared" si="602"/>
        <v>0</v>
      </c>
      <c r="E5575" s="2721" t="s">
        <v>6556</v>
      </c>
      <c r="F5575" s="293"/>
      <c r="G5575" s="2234"/>
      <c r="H5575" s="2325"/>
      <c r="I5575" s="2495"/>
      <c r="J5575" s="2495"/>
      <c r="K5575" s="2496"/>
      <c r="L5575" s="437"/>
      <c r="M5575" s="440"/>
      <c r="N5575" s="439"/>
      <c r="O5575" s="437"/>
      <c r="P5575" s="440"/>
      <c r="Q5575" s="442"/>
      <c r="R5575" s="443"/>
      <c r="S5575" s="364"/>
      <c r="Z5575" s="609" t="s">
        <v>2129</v>
      </c>
      <c r="AA5575" s="609" t="s">
        <v>19</v>
      </c>
    </row>
    <row r="5576" spans="1:27" ht="18">
      <c r="A5576" s="2714"/>
      <c r="B5576" s="371"/>
      <c r="C5576" s="371" t="s">
        <v>2755</v>
      </c>
      <c r="D5576" s="2716"/>
      <c r="F5576" s="293"/>
      <c r="G5576" s="376"/>
      <c r="H5576" s="315"/>
      <c r="I5576" s="432"/>
      <c r="J5576" s="393"/>
      <c r="K5576" s="392"/>
      <c r="L5576" s="427"/>
      <c r="M5576" s="425"/>
      <c r="N5576" s="426"/>
      <c r="O5576" s="427"/>
      <c r="P5576" s="425"/>
      <c r="Q5576" s="442"/>
      <c r="R5576" s="443"/>
      <c r="S5576" s="364"/>
      <c r="Z5576" s="609" t="s">
        <v>2129</v>
      </c>
      <c r="AA5576" s="609" t="s">
        <v>19</v>
      </c>
    </row>
    <row r="5577" spans="1:27" ht="48">
      <c r="A5577" s="2714" t="s">
        <v>2144</v>
      </c>
      <c r="B5577" s="371">
        <v>4</v>
      </c>
      <c r="C5577" s="371"/>
      <c r="D5577" s="2716" t="str">
        <f>VLOOKUP($A5577,Sheet_NoteList,2,0)</f>
        <v>持续的第三层次公允价值计量项目期初与期末账面价值之间的调节信息及不可观察参数的敏感性分析</v>
      </c>
      <c r="E5577" s="2716" t="s">
        <v>2742</v>
      </c>
      <c r="F5577" s="294"/>
      <c r="G5577" s="372" t="str">
        <f>"("&amp;B5577&amp;")"&amp;D5577</f>
        <v>(4)持续的第三层次公允价值计量项目期初与期末账面价值之间的调节信息及不可观察参数的敏感性分析</v>
      </c>
      <c r="H5577" s="1517" t="str">
        <f>$A5577</f>
        <v>9331g</v>
      </c>
      <c r="I5577" s="343" t="s">
        <v>2743</v>
      </c>
      <c r="J5577" s="301"/>
      <c r="K5577" s="3081"/>
      <c r="L5577" s="315"/>
      <c r="M5577" s="301"/>
      <c r="N5577" s="3081"/>
      <c r="O5577" s="315"/>
      <c r="P5577" s="301"/>
      <c r="S5577" s="364"/>
      <c r="Z5577" s="609" t="s">
        <v>2129</v>
      </c>
      <c r="AA5577" s="609"/>
    </row>
    <row r="5578" spans="1:27" ht="0.75" customHeight="1">
      <c r="A5578" s="2714"/>
      <c r="B5578" s="371"/>
      <c r="C5578" s="371"/>
      <c r="D5578" s="371"/>
      <c r="F5578" s="371"/>
      <c r="G5578" s="371" t="s">
        <v>4634</v>
      </c>
      <c r="H5578" s="371" t="s">
        <v>4635</v>
      </c>
      <c r="I5578" s="371" t="s">
        <v>4636</v>
      </c>
      <c r="J5578" s="371" t="s">
        <v>4637</v>
      </c>
      <c r="K5578" s="371" t="s">
        <v>4638</v>
      </c>
      <c r="L5578" s="371" t="s">
        <v>4639</v>
      </c>
      <c r="M5578" s="371" t="s">
        <v>4640</v>
      </c>
      <c r="N5578" s="371" t="s">
        <v>4641</v>
      </c>
      <c r="O5578" s="371" t="s">
        <v>4642</v>
      </c>
      <c r="P5578" s="371" t="s">
        <v>4643</v>
      </c>
      <c r="Q5578" s="543" t="s">
        <v>4644</v>
      </c>
      <c r="R5578" s="543" t="s">
        <v>4645</v>
      </c>
      <c r="S5578" s="364"/>
      <c r="Z5578" s="609" t="s">
        <v>2129</v>
      </c>
      <c r="AA5578" s="609"/>
    </row>
    <row r="5579" spans="1:27" ht="0.75" customHeight="1" thickBot="1">
      <c r="A5579" s="2714"/>
      <c r="B5579" s="371"/>
      <c r="C5579" s="371"/>
      <c r="D5579" s="371"/>
      <c r="F5579" s="371"/>
      <c r="G5579" s="371"/>
      <c r="H5579" s="371" t="s">
        <v>4646</v>
      </c>
      <c r="I5579" s="371" t="s">
        <v>4610</v>
      </c>
      <c r="J5579" s="371" t="s">
        <v>4611</v>
      </c>
      <c r="K5579" s="371" t="s">
        <v>4612</v>
      </c>
      <c r="L5579" s="371" t="s">
        <v>4613</v>
      </c>
      <c r="M5579" s="371" t="s">
        <v>4614</v>
      </c>
      <c r="N5579" s="371" t="s">
        <v>4615</v>
      </c>
      <c r="O5579" s="371" t="s">
        <v>4616</v>
      </c>
      <c r="P5579" s="371" t="s">
        <v>4617</v>
      </c>
      <c r="Q5579" s="543" t="s">
        <v>4647</v>
      </c>
      <c r="R5579" s="543" t="s">
        <v>4618</v>
      </c>
      <c r="S5579" s="364"/>
      <c r="Z5579" s="609" t="s">
        <v>2129</v>
      </c>
      <c r="AA5579" s="609"/>
    </row>
    <row r="5580" spans="1:27" ht="36" customHeight="1">
      <c r="A5580" s="2714"/>
      <c r="B5580" s="371"/>
      <c r="C5580" s="371"/>
      <c r="D5580" s="371"/>
      <c r="E5580" s="2716" t="s">
        <v>2749</v>
      </c>
      <c r="F5580" s="293"/>
      <c r="G5580" s="3161" t="s">
        <v>47</v>
      </c>
      <c r="H5580" s="3151" t="str">
        <f>$V$3</f>
        <v>2018年12月31日</v>
      </c>
      <c r="I5580" s="3149" t="s">
        <v>4619</v>
      </c>
      <c r="J5580" s="3149" t="s">
        <v>4620</v>
      </c>
      <c r="K5580" s="3149" t="s">
        <v>4621</v>
      </c>
      <c r="L5580" s="3149"/>
      <c r="M5580" s="3209" t="s">
        <v>4622</v>
      </c>
      <c r="N5580" s="3209"/>
      <c r="O5580" s="3209"/>
      <c r="P5580" s="3209"/>
      <c r="Q5580" s="3276" t="str">
        <f>$V$2</f>
        <v>2019年12月31日</v>
      </c>
      <c r="R5580" s="3280" t="s">
        <v>4623</v>
      </c>
      <c r="S5580" s="355" t="s">
        <v>5349</v>
      </c>
      <c r="Z5580" s="609" t="s">
        <v>2129</v>
      </c>
      <c r="AA5580" s="609"/>
    </row>
    <row r="5581" spans="1:27" ht="36" customHeight="1">
      <c r="A5581" s="2714"/>
      <c r="B5581" s="371"/>
      <c r="C5581" s="371"/>
      <c r="D5581" s="371"/>
      <c r="E5581" s="2716" t="s">
        <v>2749</v>
      </c>
      <c r="F5581" s="294"/>
      <c r="G5581" s="3162"/>
      <c r="H5581" s="3152"/>
      <c r="I5581" s="3150"/>
      <c r="J5581" s="3150"/>
      <c r="K5581" s="2463" t="s">
        <v>4624</v>
      </c>
      <c r="L5581" s="2463" t="s">
        <v>4625</v>
      </c>
      <c r="M5581" s="2497" t="s">
        <v>4626</v>
      </c>
      <c r="N5581" s="2497" t="s">
        <v>4627</v>
      </c>
      <c r="O5581" s="2497" t="s">
        <v>3300</v>
      </c>
      <c r="P5581" s="2497" t="s">
        <v>4628</v>
      </c>
      <c r="Q5581" s="3277"/>
      <c r="R5581" s="3281"/>
      <c r="S5581" s="364"/>
      <c r="Z5581" s="609" t="s">
        <v>2129</v>
      </c>
      <c r="AA5581" s="609"/>
    </row>
    <row r="5582" spans="1:27" ht="18">
      <c r="A5582" s="2714"/>
      <c r="B5582" s="371">
        <v>101</v>
      </c>
      <c r="C5582" s="371"/>
      <c r="D5582" s="2716">
        <f t="shared" ref="D5582:D5601" si="603">IF(OR(G5582="*",G5582="",G5582=0),0,COUNTIF($G$5582:$G$5601,G5582))</f>
        <v>1</v>
      </c>
      <c r="E5582" s="2721" t="s">
        <v>41</v>
      </c>
      <c r="F5582" s="294"/>
      <c r="G5582" s="308" t="s">
        <v>4629</v>
      </c>
      <c r="H5582" s="309"/>
      <c r="I5582" s="309"/>
      <c r="J5582" s="309"/>
      <c r="K5582" s="309"/>
      <c r="L5582" s="309"/>
      <c r="M5582" s="309"/>
      <c r="N5582" s="309"/>
      <c r="O5582" s="309"/>
      <c r="P5582" s="309"/>
      <c r="Q5582" s="309"/>
      <c r="R5582" s="346"/>
      <c r="S5582" s="364"/>
      <c r="Z5582" s="609" t="s">
        <v>2129</v>
      </c>
      <c r="AA5582" s="609"/>
    </row>
    <row r="5583" spans="1:27" ht="18">
      <c r="A5583" s="2714"/>
      <c r="B5583" s="371">
        <v>102</v>
      </c>
      <c r="C5583" s="371"/>
      <c r="D5583" s="2716">
        <f t="shared" si="603"/>
        <v>1</v>
      </c>
      <c r="E5583" s="2721">
        <v>1</v>
      </c>
      <c r="F5583" s="294"/>
      <c r="G5583" s="603" t="s">
        <v>3480</v>
      </c>
      <c r="H5583" s="309"/>
      <c r="I5583" s="309"/>
      <c r="J5583" s="309"/>
      <c r="K5583" s="309"/>
      <c r="L5583" s="309"/>
      <c r="M5583" s="309"/>
      <c r="N5583" s="309"/>
      <c r="O5583" s="309"/>
      <c r="P5583" s="309"/>
      <c r="Q5583" s="309"/>
      <c r="R5583" s="346"/>
      <c r="S5583" s="364"/>
      <c r="Z5583" s="609" t="s">
        <v>2129</v>
      </c>
      <c r="AA5583" s="609"/>
    </row>
    <row r="5584" spans="1:27" ht="18">
      <c r="A5584" s="2714"/>
      <c r="B5584" s="371">
        <v>103</v>
      </c>
      <c r="C5584" s="371"/>
      <c r="D5584" s="2716">
        <f t="shared" si="603"/>
        <v>1</v>
      </c>
      <c r="E5584" s="2721">
        <v>1</v>
      </c>
      <c r="F5584" s="294"/>
      <c r="G5584" s="603" t="s">
        <v>3479</v>
      </c>
      <c r="H5584" s="309"/>
      <c r="I5584" s="309"/>
      <c r="J5584" s="309"/>
      <c r="K5584" s="309"/>
      <c r="L5584" s="309"/>
      <c r="M5584" s="309"/>
      <c r="N5584" s="309"/>
      <c r="O5584" s="309"/>
      <c r="P5584" s="309"/>
      <c r="Q5584" s="309"/>
      <c r="R5584" s="346"/>
      <c r="S5584" s="364"/>
      <c r="Z5584" s="609" t="s">
        <v>2129</v>
      </c>
      <c r="AA5584" s="609"/>
    </row>
    <row r="5585" spans="1:27" ht="36">
      <c r="A5585" s="2714"/>
      <c r="B5585" s="371">
        <v>104</v>
      </c>
      <c r="C5585" s="371"/>
      <c r="D5585" s="2716">
        <f t="shared" si="603"/>
        <v>1</v>
      </c>
      <c r="E5585" s="2721">
        <v>1</v>
      </c>
      <c r="F5585" s="294"/>
      <c r="G5585" s="603" t="s">
        <v>2840</v>
      </c>
      <c r="H5585" s="309"/>
      <c r="I5585" s="309"/>
      <c r="J5585" s="309"/>
      <c r="K5585" s="309"/>
      <c r="L5585" s="309"/>
      <c r="M5585" s="309"/>
      <c r="N5585" s="309"/>
      <c r="O5585" s="309"/>
      <c r="P5585" s="309"/>
      <c r="Q5585" s="309"/>
      <c r="R5585" s="346"/>
      <c r="S5585" s="364"/>
      <c r="Z5585" s="609" t="s">
        <v>2129</v>
      </c>
      <c r="AA5585" s="609"/>
    </row>
    <row r="5586" spans="1:27" ht="18">
      <c r="A5586" s="2714"/>
      <c r="B5586" s="371">
        <v>105</v>
      </c>
      <c r="C5586" s="371"/>
      <c r="D5586" s="2716">
        <f t="shared" si="603"/>
        <v>1</v>
      </c>
      <c r="E5586" s="2721">
        <v>1</v>
      </c>
      <c r="F5586" s="294"/>
      <c r="G5586" s="578" t="s">
        <v>932</v>
      </c>
      <c r="H5586" s="309"/>
      <c r="I5586" s="309"/>
      <c r="J5586" s="309"/>
      <c r="K5586" s="309"/>
      <c r="L5586" s="309"/>
      <c r="M5586" s="309"/>
      <c r="N5586" s="309"/>
      <c r="O5586" s="309"/>
      <c r="P5586" s="309"/>
      <c r="Q5586" s="309"/>
      <c r="R5586" s="346"/>
      <c r="S5586" s="364"/>
      <c r="Z5586" s="609" t="s">
        <v>2129</v>
      </c>
      <c r="AA5586" s="609"/>
    </row>
    <row r="5587" spans="1:27" ht="18">
      <c r="A5587" s="2714"/>
      <c r="B5587" s="371">
        <v>106</v>
      </c>
      <c r="C5587" s="371"/>
      <c r="D5587" s="2716">
        <f t="shared" si="603"/>
        <v>1</v>
      </c>
      <c r="E5587" s="2721">
        <v>1</v>
      </c>
      <c r="F5587" s="294"/>
      <c r="G5587" s="319" t="s">
        <v>90</v>
      </c>
      <c r="H5587" s="309"/>
      <c r="I5587" s="309"/>
      <c r="J5587" s="309"/>
      <c r="K5587" s="309"/>
      <c r="L5587" s="309"/>
      <c r="M5587" s="309"/>
      <c r="N5587" s="309"/>
      <c r="O5587" s="309"/>
      <c r="P5587" s="309"/>
      <c r="Q5587" s="309"/>
      <c r="R5587" s="346"/>
      <c r="S5587" s="364"/>
      <c r="Z5587" s="609" t="s">
        <v>2129</v>
      </c>
      <c r="AA5587" s="609"/>
    </row>
    <row r="5588" spans="1:27" ht="18">
      <c r="A5588" s="2714"/>
      <c r="B5588" s="371">
        <v>107</v>
      </c>
      <c r="C5588" s="371"/>
      <c r="D5588" s="2716">
        <f t="shared" si="603"/>
        <v>1</v>
      </c>
      <c r="E5588" s="2721">
        <v>1</v>
      </c>
      <c r="F5588" s="294"/>
      <c r="G5588" s="319" t="s">
        <v>282</v>
      </c>
      <c r="H5588" s="309"/>
      <c r="I5588" s="309"/>
      <c r="J5588" s="309"/>
      <c r="K5588" s="309"/>
      <c r="L5588" s="309"/>
      <c r="M5588" s="309"/>
      <c r="N5588" s="309"/>
      <c r="O5588" s="309"/>
      <c r="P5588" s="309"/>
      <c r="Q5588" s="309"/>
      <c r="R5588" s="346"/>
      <c r="S5588" s="364"/>
      <c r="Z5588" s="609" t="s">
        <v>2129</v>
      </c>
      <c r="AA5588" s="609"/>
    </row>
    <row r="5589" spans="1:27" ht="18">
      <c r="A5589" s="2714"/>
      <c r="B5589" s="371">
        <v>108</v>
      </c>
      <c r="C5589" s="371"/>
      <c r="D5589" s="2716">
        <f t="shared" si="603"/>
        <v>1</v>
      </c>
      <c r="E5589" s="2721">
        <v>1</v>
      </c>
      <c r="F5589" s="294"/>
      <c r="G5589" s="319" t="s">
        <v>323</v>
      </c>
      <c r="H5589" s="309"/>
      <c r="I5589" s="309"/>
      <c r="J5589" s="309"/>
      <c r="K5589" s="309"/>
      <c r="L5589" s="309"/>
      <c r="M5589" s="309"/>
      <c r="N5589" s="309"/>
      <c r="O5589" s="309"/>
      <c r="P5589" s="309"/>
      <c r="Q5589" s="309"/>
      <c r="R5589" s="346"/>
      <c r="S5589" s="364"/>
      <c r="Z5589" s="609" t="s">
        <v>2129</v>
      </c>
      <c r="AA5589" s="609"/>
    </row>
    <row r="5590" spans="1:27" ht="18">
      <c r="A5590" s="2714"/>
      <c r="B5590" s="371">
        <v>109</v>
      </c>
      <c r="C5590" s="371"/>
      <c r="D5590" s="2716">
        <f t="shared" si="603"/>
        <v>1</v>
      </c>
      <c r="E5590" s="2721">
        <v>1</v>
      </c>
      <c r="F5590" s="294"/>
      <c r="G5590" s="308" t="s">
        <v>329</v>
      </c>
      <c r="H5590" s="377"/>
      <c r="I5590" s="377"/>
      <c r="J5590" s="377"/>
      <c r="K5590" s="377"/>
      <c r="L5590" s="377"/>
      <c r="M5590" s="377"/>
      <c r="N5590" s="377"/>
      <c r="O5590" s="377"/>
      <c r="P5590" s="377"/>
      <c r="Q5590" s="377">
        <f>SUMIF($E$5581:$E$5600,$G5590,Q$5581:Q$5600)</f>
        <v>0</v>
      </c>
      <c r="R5590" s="397">
        <f>SUMIF($E$5581:$E$5600,$G5590,R$5581:R$5600)</f>
        <v>0</v>
      </c>
      <c r="S5590" s="364"/>
      <c r="Z5590" s="609" t="s">
        <v>2129</v>
      </c>
      <c r="AA5590" s="609"/>
    </row>
    <row r="5591" spans="1:27" ht="18">
      <c r="A5591" s="2714"/>
      <c r="B5591" s="371">
        <v>110</v>
      </c>
      <c r="C5591" s="371"/>
      <c r="D5591" s="2716">
        <f t="shared" si="603"/>
        <v>1</v>
      </c>
      <c r="E5591" s="2721" t="s">
        <v>41</v>
      </c>
      <c r="F5591" s="294"/>
      <c r="G5591" s="308" t="s">
        <v>4598</v>
      </c>
      <c r="H5591" s="309"/>
      <c r="I5591" s="309"/>
      <c r="J5591" s="309"/>
      <c r="K5591" s="309"/>
      <c r="L5591" s="309"/>
      <c r="M5591" s="309"/>
      <c r="N5591" s="309"/>
      <c r="O5591" s="309"/>
      <c r="P5591" s="309"/>
      <c r="Q5591" s="309"/>
      <c r="R5591" s="346"/>
      <c r="S5591" s="364"/>
      <c r="Z5591" s="609" t="s">
        <v>2129</v>
      </c>
      <c r="AA5591" s="609"/>
    </row>
    <row r="5592" spans="1:27" ht="18">
      <c r="A5592" s="2714"/>
      <c r="B5592" s="371">
        <v>111</v>
      </c>
      <c r="C5592" s="371"/>
      <c r="D5592" s="2716">
        <f t="shared" si="603"/>
        <v>1</v>
      </c>
      <c r="E5592" s="2721">
        <v>1</v>
      </c>
      <c r="F5592" s="294"/>
      <c r="G5592" s="603" t="s">
        <v>4630</v>
      </c>
      <c r="H5592" s="309"/>
      <c r="I5592" s="309"/>
      <c r="J5592" s="309"/>
      <c r="K5592" s="309"/>
      <c r="L5592" s="309"/>
      <c r="M5592" s="309"/>
      <c r="N5592" s="309"/>
      <c r="O5592" s="309"/>
      <c r="P5592" s="309"/>
      <c r="Q5592" s="309"/>
      <c r="R5592" s="346"/>
      <c r="S5592" s="364"/>
      <c r="Z5592" s="609" t="s">
        <v>2129</v>
      </c>
      <c r="AA5592" s="609"/>
    </row>
    <row r="5593" spans="1:27" ht="18">
      <c r="A5593" s="2714"/>
      <c r="B5593" s="371">
        <v>112</v>
      </c>
      <c r="C5593" s="371"/>
      <c r="D5593" s="2716">
        <f t="shared" si="603"/>
        <v>1</v>
      </c>
      <c r="E5593" s="2721">
        <v>1</v>
      </c>
      <c r="F5593" s="294"/>
      <c r="G5593" s="603" t="s">
        <v>4631</v>
      </c>
      <c r="H5593" s="309"/>
      <c r="I5593" s="309"/>
      <c r="J5593" s="309"/>
      <c r="K5593" s="309"/>
      <c r="L5593" s="309"/>
      <c r="M5593" s="309"/>
      <c r="N5593" s="309"/>
      <c r="O5593" s="309"/>
      <c r="P5593" s="309"/>
      <c r="Q5593" s="309"/>
      <c r="R5593" s="346"/>
      <c r="S5593" s="364"/>
      <c r="Z5593" s="609" t="s">
        <v>2129</v>
      </c>
      <c r="AA5593" s="609"/>
    </row>
    <row r="5594" spans="1:27" ht="24">
      <c r="A5594" s="2714"/>
      <c r="B5594" s="371">
        <v>113</v>
      </c>
      <c r="C5594" s="371"/>
      <c r="D5594" s="2716">
        <f t="shared" si="603"/>
        <v>1</v>
      </c>
      <c r="E5594" s="2721">
        <v>1</v>
      </c>
      <c r="F5594" s="294"/>
      <c r="G5594" s="578" t="s">
        <v>4632</v>
      </c>
      <c r="H5594" s="309"/>
      <c r="I5594" s="309"/>
      <c r="J5594" s="309"/>
      <c r="K5594" s="309"/>
      <c r="L5594" s="309"/>
      <c r="M5594" s="309"/>
      <c r="N5594" s="309"/>
      <c r="O5594" s="309"/>
      <c r="P5594" s="309"/>
      <c r="Q5594" s="309"/>
      <c r="R5594" s="346"/>
      <c r="S5594" s="364"/>
      <c r="Z5594" s="609" t="s">
        <v>2129</v>
      </c>
      <c r="AA5594" s="609"/>
    </row>
    <row r="5595" spans="1:27" ht="18">
      <c r="A5595" s="2714"/>
      <c r="B5595" s="371">
        <v>114</v>
      </c>
      <c r="C5595" s="371"/>
      <c r="D5595" s="2716">
        <f t="shared" si="603"/>
        <v>1</v>
      </c>
      <c r="E5595" s="2721" t="s">
        <v>41</v>
      </c>
      <c r="F5595" s="294"/>
      <c r="G5595" s="308" t="s">
        <v>4633</v>
      </c>
      <c r="H5595" s="377"/>
      <c r="I5595" s="377"/>
      <c r="J5595" s="377"/>
      <c r="K5595" s="377"/>
      <c r="L5595" s="377"/>
      <c r="M5595" s="377"/>
      <c r="N5595" s="377"/>
      <c r="O5595" s="377"/>
      <c r="P5595" s="377"/>
      <c r="Q5595" s="377">
        <f>SUMIF($E$5581:$E$5600,$G5595,Q$5581:Q$5600)</f>
        <v>0</v>
      </c>
      <c r="R5595" s="397">
        <f>SUMIF($E$5581:$E$5600,$G5595,R$5581:R$5600)</f>
        <v>0</v>
      </c>
      <c r="S5595" s="364"/>
      <c r="Z5595" s="609" t="s">
        <v>2129</v>
      </c>
      <c r="AA5595" s="609"/>
    </row>
    <row r="5596" spans="1:27" ht="18">
      <c r="A5596" s="2714"/>
      <c r="B5596" s="371">
        <v>115</v>
      </c>
      <c r="C5596" s="371"/>
      <c r="D5596" s="2716">
        <f t="shared" si="603"/>
        <v>1</v>
      </c>
      <c r="E5596" s="2721">
        <v>1</v>
      </c>
      <c r="F5596" s="294"/>
      <c r="G5596" s="603" t="s">
        <v>346</v>
      </c>
      <c r="H5596" s="309"/>
      <c r="I5596" s="309"/>
      <c r="J5596" s="309"/>
      <c r="K5596" s="309"/>
      <c r="L5596" s="309"/>
      <c r="M5596" s="309"/>
      <c r="N5596" s="309"/>
      <c r="O5596" s="309"/>
      <c r="P5596" s="309"/>
      <c r="Q5596" s="309"/>
      <c r="R5596" s="346"/>
      <c r="S5596" s="364"/>
      <c r="Z5596" s="609" t="s">
        <v>2129</v>
      </c>
      <c r="AA5596" s="609"/>
    </row>
    <row r="5597" spans="1:27" ht="18">
      <c r="A5597" s="2714"/>
      <c r="B5597" s="371">
        <v>116</v>
      </c>
      <c r="C5597" s="371"/>
      <c r="D5597" s="2716">
        <f t="shared" si="603"/>
        <v>1</v>
      </c>
      <c r="E5597" s="2721">
        <v>1</v>
      </c>
      <c r="F5597" s="294"/>
      <c r="G5597" s="603" t="s">
        <v>381</v>
      </c>
      <c r="H5597" s="309"/>
      <c r="I5597" s="309"/>
      <c r="J5597" s="309"/>
      <c r="K5597" s="309"/>
      <c r="L5597" s="309"/>
      <c r="M5597" s="309"/>
      <c r="N5597" s="309"/>
      <c r="O5597" s="309"/>
      <c r="P5597" s="309"/>
      <c r="Q5597" s="309"/>
      <c r="R5597" s="346"/>
      <c r="S5597" s="364"/>
      <c r="Z5597" s="609" t="s">
        <v>2129</v>
      </c>
      <c r="AA5597" s="609"/>
    </row>
    <row r="5598" spans="1:27" ht="18">
      <c r="A5598" s="2714"/>
      <c r="B5598" s="371">
        <v>117</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
      <c r="A5599" s="2714"/>
      <c r="B5599" s="371">
        <v>118</v>
      </c>
      <c r="C5599" s="371" t="s">
        <v>2791</v>
      </c>
      <c r="D5599" s="2716">
        <f t="shared" si="603"/>
        <v>0</v>
      </c>
      <c r="E5599" s="2721">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
      <c r="A5600" s="2714"/>
      <c r="B5600" s="371">
        <v>119</v>
      </c>
      <c r="C5600" s="371" t="s">
        <v>2791</v>
      </c>
      <c r="D5600" s="2716">
        <f t="shared" si="603"/>
        <v>0</v>
      </c>
      <c r="E5600" s="2721">
        <v>1</v>
      </c>
      <c r="F5600" s="294"/>
      <c r="G5600" s="625" t="s">
        <v>2792</v>
      </c>
      <c r="H5600" s="309"/>
      <c r="I5600" s="309"/>
      <c r="J5600" s="309"/>
      <c r="K5600" s="309"/>
      <c r="L5600" s="309"/>
      <c r="M5600" s="309"/>
      <c r="N5600" s="309"/>
      <c r="O5600" s="309"/>
      <c r="P5600" s="309"/>
      <c r="Q5600" s="309"/>
      <c r="R5600" s="346"/>
      <c r="S5600" s="364"/>
      <c r="Z5600" s="609" t="s">
        <v>2129</v>
      </c>
      <c r="AA5600" s="609"/>
    </row>
    <row r="5601" spans="1:27" ht="18.75" thickBot="1">
      <c r="A5601" s="2714"/>
      <c r="B5601" s="371"/>
      <c r="C5601" s="371"/>
      <c r="D5601" s="2716">
        <f t="shared" si="603"/>
        <v>1</v>
      </c>
      <c r="E5601" s="2721" t="s">
        <v>3032</v>
      </c>
      <c r="F5601" s="294"/>
      <c r="G5601" s="2234" t="s">
        <v>2752</v>
      </c>
      <c r="H5601" s="2325">
        <f t="shared" ref="H5601:R5601" si="604">SUMPRODUCT($E5581:$E5600,H5581:H5600)</f>
        <v>0</v>
      </c>
      <c r="I5601" s="2325">
        <f t="shared" si="604"/>
        <v>0</v>
      </c>
      <c r="J5601" s="2325">
        <f t="shared" si="604"/>
        <v>0</v>
      </c>
      <c r="K5601" s="2325">
        <f t="shared" si="604"/>
        <v>0</v>
      </c>
      <c r="L5601" s="2325">
        <f t="shared" si="604"/>
        <v>0</v>
      </c>
      <c r="M5601" s="2325">
        <f t="shared" si="604"/>
        <v>0</v>
      </c>
      <c r="N5601" s="2325">
        <f t="shared" si="604"/>
        <v>0</v>
      </c>
      <c r="O5601" s="2325">
        <f t="shared" si="604"/>
        <v>0</v>
      </c>
      <c r="P5601" s="2325">
        <f t="shared" si="604"/>
        <v>0</v>
      </c>
      <c r="Q5601" s="2325">
        <f t="shared" si="604"/>
        <v>0</v>
      </c>
      <c r="R5601" s="2342">
        <f t="shared" si="604"/>
        <v>0</v>
      </c>
      <c r="S5601" s="364"/>
      <c r="Z5601" s="609" t="s">
        <v>2129</v>
      </c>
      <c r="AA5601" s="609"/>
    </row>
    <row r="5602" spans="1:27" ht="18">
      <c r="A5602" s="2714"/>
      <c r="B5602" s="371"/>
      <c r="C5602" s="371" t="s">
        <v>2755</v>
      </c>
      <c r="D5602" s="371"/>
      <c r="F5602" s="294"/>
      <c r="G5602" s="301"/>
      <c r="H5602" s="315"/>
      <c r="I5602" s="315"/>
      <c r="J5602" s="315"/>
      <c r="K5602" s="315"/>
      <c r="L5602" s="315"/>
      <c r="M5602" s="315"/>
      <c r="N5602" s="315"/>
      <c r="O5602" s="315"/>
      <c r="P5602" s="315"/>
      <c r="Q5602" s="566"/>
      <c r="R5602" s="566"/>
      <c r="S5602" s="364"/>
      <c r="Z5602" s="609" t="s">
        <v>2129</v>
      </c>
      <c r="AA5602" s="609"/>
    </row>
    <row r="5603" spans="1:27" ht="36">
      <c r="A5603" s="2714" t="s">
        <v>2130</v>
      </c>
      <c r="B5603" s="371">
        <v>5</v>
      </c>
      <c r="C5603" s="371"/>
      <c r="D5603" s="2716" t="str">
        <f>VLOOKUP($A5603,Sheet_NoteList,2,0)</f>
        <v>不以公允价值计量的金融资产和金融负债的公允价值情况</v>
      </c>
      <c r="E5603" s="2716" t="s">
        <v>2742</v>
      </c>
      <c r="F5603" s="294"/>
      <c r="G5603" s="372" t="str">
        <f>"("&amp;B5603&amp;")"&amp;D5603</f>
        <v>(5)不以公允价值计量的金融资产和金融负债的公允价值情况</v>
      </c>
      <c r="H5603" s="1517" t="str">
        <f>$A5603</f>
        <v>9331b</v>
      </c>
      <c r="I5603" s="343" t="s">
        <v>2743</v>
      </c>
      <c r="J5603" s="301"/>
      <c r="K5603" s="3081"/>
      <c r="L5603" s="315"/>
      <c r="M5603" s="301"/>
      <c r="N5603" s="3081"/>
      <c r="O5603" s="315"/>
      <c r="P5603" s="301"/>
      <c r="S5603" s="364"/>
      <c r="Z5603" s="609" t="s">
        <v>2129</v>
      </c>
      <c r="AA5603" s="609"/>
    </row>
    <row r="5604" spans="1:27" ht="0.75" customHeight="1" thickBot="1">
      <c r="A5604" s="2714"/>
      <c r="B5604" s="371"/>
      <c r="C5604" s="371"/>
      <c r="D5604" s="371"/>
      <c r="F5604" s="371"/>
      <c r="G5604" s="371" t="s">
        <v>4604</v>
      </c>
      <c r="H5604" s="371" t="s">
        <v>3287</v>
      </c>
      <c r="I5604" s="371" t="s">
        <v>2845</v>
      </c>
      <c r="J5604" s="371" t="s">
        <v>4605</v>
      </c>
      <c r="K5604" s="371" t="s">
        <v>4606</v>
      </c>
      <c r="L5604" s="1604"/>
      <c r="M5604" s="1604"/>
      <c r="N5604" s="1604"/>
      <c r="O5604" s="1604"/>
      <c r="P5604" s="1604"/>
      <c r="Q5604" s="1604"/>
      <c r="R5604" s="1604"/>
      <c r="S5604" s="364"/>
      <c r="Z5604" s="609" t="s">
        <v>2129</v>
      </c>
      <c r="AA5604" s="609"/>
    </row>
    <row r="5605" spans="1:27" ht="24">
      <c r="A5605" s="2714"/>
      <c r="B5605" s="371"/>
      <c r="C5605" s="371"/>
      <c r="D5605" s="371"/>
      <c r="E5605" s="2716" t="s">
        <v>2749</v>
      </c>
      <c r="F5605" s="294"/>
      <c r="G5605" s="2498" t="s">
        <v>47</v>
      </c>
      <c r="H5605" s="2483" t="str">
        <f>$W$2&amp;"账面价值"</f>
        <v>2019年12月31日账面价值</v>
      </c>
      <c r="I5605" s="2499" t="s">
        <v>4531</v>
      </c>
      <c r="J5605" s="2499" t="s">
        <v>4532</v>
      </c>
      <c r="K5605" s="2590" t="s">
        <v>4533</v>
      </c>
      <c r="L5605" s="355" t="s">
        <v>5349</v>
      </c>
      <c r="M5605" s="1604"/>
      <c r="N5605" s="1604"/>
      <c r="O5605" s="1604"/>
      <c r="P5605" s="1604"/>
      <c r="Q5605" s="1604"/>
      <c r="R5605" s="1604"/>
      <c r="S5605" s="364"/>
      <c r="Z5605" s="609" t="s">
        <v>2129</v>
      </c>
      <c r="AA5605" s="609"/>
    </row>
    <row r="5606" spans="1:27" ht="18">
      <c r="A5606" s="2714"/>
      <c r="B5606" s="371">
        <v>101</v>
      </c>
      <c r="C5606" s="371"/>
      <c r="D5606" s="2716">
        <f t="shared" ref="D5606:D5620" si="605">IF(OR(G5606="*",G5606="",G5606=0),0,COUNTIF($G$5606:$G$5620,G5606))</f>
        <v>1</v>
      </c>
      <c r="E5606" s="2721" t="s">
        <v>41</v>
      </c>
      <c r="F5606" s="294"/>
      <c r="G5606" s="308" t="s">
        <v>4520</v>
      </c>
      <c r="H5606" s="309"/>
      <c r="I5606" s="309"/>
      <c r="J5606" s="309"/>
      <c r="K5606" s="346"/>
      <c r="L5606" s="355" t="s">
        <v>6101</v>
      </c>
      <c r="M5606" s="1604"/>
      <c r="N5606" s="1604"/>
      <c r="O5606" s="1604"/>
      <c r="P5606" s="1604"/>
      <c r="Q5606" s="1604"/>
      <c r="R5606" s="1604"/>
      <c r="S5606" s="364"/>
      <c r="Z5606" s="609" t="s">
        <v>2129</v>
      </c>
      <c r="AA5606" s="609"/>
    </row>
    <row r="5607" spans="1:27" ht="18">
      <c r="A5607" s="2714"/>
      <c r="B5607" s="371">
        <v>101.001</v>
      </c>
      <c r="C5607" s="371" t="s">
        <v>2791</v>
      </c>
      <c r="D5607" s="2716">
        <f t="shared" si="605"/>
        <v>1</v>
      </c>
      <c r="E5607" s="2721" t="s">
        <v>4607</v>
      </c>
      <c r="F5607" s="294"/>
      <c r="G5607" s="578" t="s">
        <v>274</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101.002</v>
      </c>
      <c r="C5608" s="371" t="s">
        <v>2791</v>
      </c>
      <c r="D5608" s="2716">
        <f t="shared" si="605"/>
        <v>1</v>
      </c>
      <c r="E5608" s="2721" t="s">
        <v>4607</v>
      </c>
      <c r="F5608" s="294"/>
      <c r="G5608" s="578" t="s">
        <v>317</v>
      </c>
      <c r="H5608" s="309"/>
      <c r="I5608" s="309"/>
      <c r="J5608" s="309"/>
      <c r="K5608" s="346"/>
      <c r="L5608" s="1604"/>
      <c r="M5608" s="1604"/>
      <c r="N5608" s="1604"/>
      <c r="O5608" s="1604"/>
      <c r="P5608" s="1604"/>
      <c r="Q5608" s="1604"/>
      <c r="R5608" s="1604"/>
      <c r="S5608" s="364"/>
      <c r="Z5608" s="609" t="s">
        <v>2129</v>
      </c>
      <c r="AA5608" s="609"/>
    </row>
    <row r="5609" spans="1:27" ht="36">
      <c r="A5609" s="2714"/>
      <c r="B5609" s="371">
        <v>101.003</v>
      </c>
      <c r="C5609" s="371" t="s">
        <v>2791</v>
      </c>
      <c r="D5609" s="2716">
        <f t="shared" si="605"/>
        <v>1</v>
      </c>
      <c r="E5609" s="2721" t="s">
        <v>4607</v>
      </c>
      <c r="F5609" s="294"/>
      <c r="G5609" s="578" t="s">
        <v>4608</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101.004</v>
      </c>
      <c r="C5610" s="371" t="s">
        <v>2791</v>
      </c>
      <c r="D5610" s="2716">
        <f t="shared" si="605"/>
        <v>0</v>
      </c>
      <c r="E5610" s="2721" t="s">
        <v>4607</v>
      </c>
      <c r="F5610" s="294"/>
      <c r="G5610" s="578" t="s">
        <v>2792</v>
      </c>
      <c r="H5610" s="309"/>
      <c r="I5610" s="309"/>
      <c r="J5610" s="309"/>
      <c r="K5610" s="346"/>
      <c r="L5610" s="1604"/>
      <c r="M5610" s="1604"/>
      <c r="N5610" s="1604"/>
      <c r="O5610" s="1604"/>
      <c r="P5610" s="1604"/>
      <c r="Q5610" s="1604"/>
      <c r="R5610" s="1604"/>
      <c r="S5610" s="364"/>
      <c r="Z5610" s="609" t="s">
        <v>2129</v>
      </c>
      <c r="AA5610" s="609"/>
    </row>
    <row r="5611" spans="1:27" ht="18">
      <c r="A5611" s="2714"/>
      <c r="B5611" s="371">
        <v>101.005</v>
      </c>
      <c r="C5611" s="371" t="s">
        <v>2791</v>
      </c>
      <c r="D5611" s="2716">
        <f t="shared" si="605"/>
        <v>0</v>
      </c>
      <c r="E5611" s="2721" t="s">
        <v>4607</v>
      </c>
      <c r="F5611" s="294"/>
      <c r="G5611" s="578" t="s">
        <v>2792</v>
      </c>
      <c r="H5611" s="309"/>
      <c r="I5611" s="309"/>
      <c r="J5611" s="309"/>
      <c r="K5611" s="346"/>
      <c r="L5611" s="1604"/>
      <c r="M5611" s="1604"/>
      <c r="N5611" s="1604"/>
      <c r="O5611" s="1604"/>
      <c r="P5611" s="1604"/>
      <c r="Q5611" s="1604"/>
      <c r="R5611" s="1604"/>
      <c r="S5611" s="364"/>
      <c r="Z5611" s="609" t="s">
        <v>2129</v>
      </c>
      <c r="AA5611" s="609"/>
    </row>
    <row r="5612" spans="1:27" ht="18">
      <c r="A5612" s="2714"/>
      <c r="B5612" s="371">
        <v>101.999</v>
      </c>
      <c r="C5612" s="371" t="s">
        <v>2793</v>
      </c>
      <c r="D5612" s="2716">
        <f t="shared" si="605"/>
        <v>1</v>
      </c>
      <c r="E5612" s="2721">
        <v>0</v>
      </c>
      <c r="F5612" s="294"/>
      <c r="G5612" s="308" t="s">
        <v>4607</v>
      </c>
      <c r="H5612" s="377">
        <f>SUMIF($E$5605:$E$5619,$G5612,H$5605:H$5619)</f>
        <v>0</v>
      </c>
      <c r="I5612" s="377">
        <f>SUMIF($E$5605:$E$5619,$G5612,I$5605:I$5619)</f>
        <v>0</v>
      </c>
      <c r="J5612" s="377">
        <f>SUMIF($E$5605:$E$5619,$G5612,J$5605:J$5619)</f>
        <v>0</v>
      </c>
      <c r="K5612" s="397">
        <f>SUMIF($E$5605:$E$5619,$G5612,K$5605:K$5619)</f>
        <v>0</v>
      </c>
      <c r="L5612" s="1604"/>
      <c r="M5612" s="1604"/>
      <c r="N5612" s="1604"/>
      <c r="O5612" s="1604"/>
      <c r="P5612" s="1604"/>
      <c r="Q5612" s="1604"/>
      <c r="R5612" s="1604"/>
      <c r="S5612" s="364"/>
      <c r="Z5612" s="609" t="s">
        <v>2129</v>
      </c>
      <c r="AA5612" s="609"/>
    </row>
    <row r="5613" spans="1:27" ht="18">
      <c r="A5613" s="2714"/>
      <c r="B5613" s="371">
        <v>102</v>
      </c>
      <c r="C5613" s="371"/>
      <c r="D5613" s="2716">
        <f t="shared" si="605"/>
        <v>1</v>
      </c>
      <c r="E5613" s="2721" t="s">
        <v>41</v>
      </c>
      <c r="F5613" s="294"/>
      <c r="G5613" s="308" t="s">
        <v>4521</v>
      </c>
      <c r="H5613" s="309"/>
      <c r="I5613" s="309"/>
      <c r="J5613" s="309"/>
      <c r="K5613" s="346"/>
      <c r="L5613" s="1604"/>
      <c r="M5613" s="1604"/>
      <c r="N5613" s="1604"/>
      <c r="O5613" s="1604"/>
      <c r="P5613" s="1604"/>
      <c r="Q5613" s="1604"/>
      <c r="R5613" s="1604"/>
      <c r="S5613" s="364"/>
      <c r="Z5613" s="609" t="s">
        <v>2129</v>
      </c>
      <c r="AA5613" s="609"/>
    </row>
    <row r="5614" spans="1:27" ht="24">
      <c r="A5614" s="2714"/>
      <c r="B5614" s="371">
        <v>103</v>
      </c>
      <c r="C5614" s="371" t="s">
        <v>2791</v>
      </c>
      <c r="D5614" s="2716">
        <f t="shared" si="605"/>
        <v>1</v>
      </c>
      <c r="E5614" s="2721">
        <v>1</v>
      </c>
      <c r="F5614" s="294"/>
      <c r="G5614" s="578" t="s">
        <v>4522</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104</v>
      </c>
      <c r="C5615" s="371" t="s">
        <v>2791</v>
      </c>
      <c r="D5615" s="2716">
        <f t="shared" si="605"/>
        <v>1</v>
      </c>
      <c r="E5615" s="2721">
        <v>1</v>
      </c>
      <c r="F5615" s="294"/>
      <c r="G5615" s="578" t="s">
        <v>546</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105</v>
      </c>
      <c r="C5616" s="371" t="s">
        <v>2791</v>
      </c>
      <c r="D5616" s="2716">
        <f t="shared" si="605"/>
        <v>1</v>
      </c>
      <c r="E5616" s="2721">
        <v>1</v>
      </c>
      <c r="F5616" s="294"/>
      <c r="G5616" s="578" t="s">
        <v>550</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106</v>
      </c>
      <c r="C5617" s="371" t="s">
        <v>2791</v>
      </c>
      <c r="D5617" s="2716">
        <f t="shared" si="605"/>
        <v>1</v>
      </c>
      <c r="E5617" s="2721">
        <v>1</v>
      </c>
      <c r="F5617" s="294"/>
      <c r="G5617" s="578" t="s">
        <v>554</v>
      </c>
      <c r="H5617" s="309"/>
      <c r="I5617" s="309"/>
      <c r="J5617" s="309"/>
      <c r="K5617" s="346"/>
      <c r="L5617" s="1604"/>
      <c r="M5617" s="1604"/>
      <c r="N5617" s="1604"/>
      <c r="O5617" s="1604"/>
      <c r="P5617" s="1604"/>
      <c r="Q5617" s="1604"/>
      <c r="R5617" s="1604"/>
      <c r="S5617" s="364"/>
      <c r="Z5617" s="609" t="s">
        <v>2129</v>
      </c>
      <c r="AA5617" s="609"/>
    </row>
    <row r="5618" spans="1:27" ht="18">
      <c r="A5618" s="2714"/>
      <c r="B5618" s="371">
        <v>107</v>
      </c>
      <c r="C5618" s="371" t="s">
        <v>2791</v>
      </c>
      <c r="D5618" s="2716">
        <f t="shared" si="605"/>
        <v>0</v>
      </c>
      <c r="E5618" s="2721">
        <v>1</v>
      </c>
      <c r="F5618" s="294"/>
      <c r="G5618" s="578" t="s">
        <v>2792</v>
      </c>
      <c r="H5618" s="309"/>
      <c r="I5618" s="309"/>
      <c r="J5618" s="309"/>
      <c r="K5618" s="346"/>
      <c r="L5618" s="1604"/>
      <c r="M5618" s="1604"/>
      <c r="N5618" s="1604"/>
      <c r="O5618" s="1604"/>
      <c r="P5618" s="1604"/>
      <c r="Q5618" s="1604"/>
      <c r="R5618" s="1604"/>
      <c r="S5618" s="364"/>
      <c r="Z5618" s="609" t="s">
        <v>2129</v>
      </c>
      <c r="AA5618" s="609"/>
    </row>
    <row r="5619" spans="1:27" ht="18">
      <c r="A5619" s="2714"/>
      <c r="B5619" s="371">
        <v>108</v>
      </c>
      <c r="C5619" s="371"/>
      <c r="D5619" s="2716">
        <f t="shared" si="605"/>
        <v>1</v>
      </c>
      <c r="E5619" s="2721">
        <v>1</v>
      </c>
      <c r="F5619" s="294"/>
      <c r="G5619" s="308" t="s">
        <v>4609</v>
      </c>
      <c r="H5619" s="309">
        <f>SUM(H5614:H5618)</f>
        <v>0</v>
      </c>
      <c r="I5619" s="309">
        <f>SUM(I5614:I5618)</f>
        <v>0</v>
      </c>
      <c r="J5619" s="309">
        <f>SUM(J5614:J5618)</f>
        <v>0</v>
      </c>
      <c r="K5619" s="346">
        <f>SUM(K5614:K5618)</f>
        <v>0</v>
      </c>
      <c r="L5619" s="1604"/>
      <c r="M5619" s="1604"/>
      <c r="N5619" s="1604"/>
      <c r="O5619" s="1604"/>
      <c r="P5619" s="1604"/>
      <c r="Q5619" s="1604"/>
      <c r="R5619" s="1604"/>
      <c r="S5619" s="364"/>
      <c r="Z5619" s="609" t="s">
        <v>2129</v>
      </c>
      <c r="AA5619" s="609"/>
    </row>
    <row r="5620" spans="1:27" ht="18.75" thickBot="1">
      <c r="A5620" s="2714"/>
      <c r="B5620" s="371"/>
      <c r="C5620" s="371"/>
      <c r="D5620" s="2716">
        <f t="shared" si="605"/>
        <v>0</v>
      </c>
      <c r="E5620" s="2721" t="s">
        <v>3595</v>
      </c>
      <c r="F5620" s="294"/>
      <c r="G5620" s="2429"/>
      <c r="H5620" s="2501"/>
      <c r="I5620" s="2485"/>
      <c r="J5620" s="2501"/>
      <c r="K5620" s="2487"/>
      <c r="L5620" s="1604"/>
      <c r="M5620" s="1604"/>
      <c r="N5620" s="1604"/>
      <c r="O5620" s="1604"/>
      <c r="P5620" s="1604"/>
      <c r="Q5620" s="1604"/>
      <c r="R5620" s="1604"/>
      <c r="S5620" s="364"/>
      <c r="Z5620" s="609" t="s">
        <v>2129</v>
      </c>
      <c r="AA5620" s="609"/>
    </row>
    <row r="5621" spans="1:27" ht="18">
      <c r="A5621" s="2714"/>
      <c r="B5621" s="371"/>
      <c r="C5621" s="371" t="s">
        <v>2755</v>
      </c>
      <c r="D5621" s="371"/>
      <c r="F5621" s="294"/>
      <c r="G5621" s="301"/>
      <c r="H5621" s="315"/>
      <c r="I5621" s="315"/>
      <c r="J5621" s="315"/>
      <c r="K5621" s="315"/>
      <c r="L5621" s="1604"/>
      <c r="M5621" s="1604"/>
      <c r="N5621" s="1604"/>
      <c r="O5621" s="1604"/>
      <c r="P5621" s="1604"/>
      <c r="Q5621" s="1604"/>
      <c r="R5621" s="1604"/>
      <c r="S5621" s="364"/>
      <c r="Z5621" s="609" t="s">
        <v>2129</v>
      </c>
      <c r="AA5621" s="609"/>
    </row>
    <row r="5622" spans="1:27" ht="18">
      <c r="A5622" s="2714">
        <v>9120</v>
      </c>
      <c r="B5622" s="371" t="s">
        <v>6571</v>
      </c>
      <c r="C5622" s="2716" t="str">
        <f>VLOOKUP($A5622,Sheet_Items,2,0)</f>
        <v>关联方交易</v>
      </c>
      <c r="D5622" s="371"/>
      <c r="E5622" s="2716" t="s">
        <v>2739</v>
      </c>
      <c r="F5622" s="294"/>
      <c r="G5622" s="305" t="str">
        <f>B5622&amp;" "&amp;C5622</f>
        <v>十 关联方交易</v>
      </c>
      <c r="H5622" s="306"/>
      <c r="I5622" s="306"/>
      <c r="J5622" s="306"/>
      <c r="K5622" s="539"/>
      <c r="L5622" s="342"/>
      <c r="M5622" s="306"/>
      <c r="N5622" s="539"/>
      <c r="O5622" s="306"/>
      <c r="P5622" s="301"/>
      <c r="S5622" s="364"/>
      <c r="Z5622" s="609" t="s">
        <v>2066</v>
      </c>
      <c r="AA5622" s="609"/>
    </row>
    <row r="5623" spans="1:27" ht="24">
      <c r="A5623" s="2714" t="s">
        <v>2064</v>
      </c>
      <c r="B5623" s="371">
        <v>5.1100000000000003</v>
      </c>
      <c r="C5623" s="371"/>
      <c r="D5623" s="2716" t="str">
        <f>VLOOKUP($A5623,Sheet_NoteList,2,0)</f>
        <v>采购商品、接受劳务的关联交易情况</v>
      </c>
      <c r="E5623" s="2716" t="s">
        <v>2742</v>
      </c>
      <c r="F5623" s="293"/>
      <c r="G5623" s="372" t="str">
        <f>"("&amp;B5623&amp;")"&amp;D5623</f>
        <v>(5.11)采购商品、接受劳务的关联交易情况</v>
      </c>
      <c r="H5623" s="1517" t="str">
        <f>$A5623</f>
        <v>9120m</v>
      </c>
      <c r="I5623" s="343" t="s">
        <v>2743</v>
      </c>
      <c r="J5623" s="301" t="s">
        <v>2744</v>
      </c>
      <c r="K5623" s="2210">
        <f>H5634</f>
        <v>0</v>
      </c>
      <c r="L5623" s="349"/>
      <c r="M5623" s="301" t="s">
        <v>2745</v>
      </c>
      <c r="N5623" s="2210">
        <f>I5634</f>
        <v>0</v>
      </c>
      <c r="O5623" s="349"/>
      <c r="P5623" s="301"/>
      <c r="S5623" s="364"/>
      <c r="Z5623" s="609" t="s">
        <v>2066</v>
      </c>
      <c r="AA5623" s="609" t="s">
        <v>19</v>
      </c>
    </row>
    <row r="5624" spans="1:27" ht="0.75" customHeight="1" thickBot="1">
      <c r="A5624" s="2714"/>
      <c r="B5624" s="371"/>
      <c r="C5624" s="371"/>
      <c r="D5624" s="2716"/>
      <c r="E5624" s="586"/>
      <c r="F5624" s="586"/>
      <c r="G5624" s="2224" t="s">
        <v>4435</v>
      </c>
      <c r="H5624" s="371" t="s">
        <v>3067</v>
      </c>
      <c r="I5624" s="371" t="s">
        <v>2748</v>
      </c>
      <c r="J5624" s="371" t="s">
        <v>2948</v>
      </c>
      <c r="K5624" s="428"/>
      <c r="L5624" s="428"/>
      <c r="M5624" s="433"/>
      <c r="N5624" s="428"/>
      <c r="O5624" s="428"/>
      <c r="P5624" s="433"/>
      <c r="Q5624" s="442"/>
      <c r="R5624" s="443"/>
      <c r="S5624" s="364"/>
      <c r="Z5624" s="609" t="s">
        <v>2066</v>
      </c>
      <c r="AA5624" s="609" t="s">
        <v>19</v>
      </c>
    </row>
    <row r="5625" spans="1:27" ht="18">
      <c r="A5625" s="2714"/>
      <c r="B5625" s="371"/>
      <c r="C5625" s="371"/>
      <c r="D5625" s="2716"/>
      <c r="E5625" s="586" t="s">
        <v>2749</v>
      </c>
      <c r="F5625" s="414"/>
      <c r="G5625" s="2457" t="s">
        <v>4436</v>
      </c>
      <c r="H5625" s="2464" t="s">
        <v>4437</v>
      </c>
      <c r="I5625" s="2464" t="str">
        <f>$W$4&amp;"发生额"</f>
        <v>2019年度发生额</v>
      </c>
      <c r="J5625" s="2469" t="str">
        <f>$W$5&amp;"发生额"</f>
        <v>2018年度发生额</v>
      </c>
      <c r="K5625" s="355" t="s">
        <v>5350</v>
      </c>
      <c r="L5625" s="434"/>
      <c r="M5625" s="435"/>
      <c r="N5625" s="434"/>
      <c r="O5625" s="434"/>
      <c r="P5625" s="435"/>
      <c r="Q5625" s="442"/>
      <c r="R5625" s="443"/>
      <c r="S5625" s="364"/>
      <c r="Z5625" s="609" t="s">
        <v>2066</v>
      </c>
      <c r="AA5625" s="609" t="s">
        <v>19</v>
      </c>
    </row>
    <row r="5626" spans="1:27" ht="18">
      <c r="A5626" s="2714"/>
      <c r="B5626" s="371">
        <v>101</v>
      </c>
      <c r="C5626" s="371" t="s">
        <v>2791</v>
      </c>
      <c r="D5626" s="2716">
        <f t="shared" ref="D5626:D5634" si="606">IF(OR(G5626="*",G5626="",G5626=0),0,COUNTIF($G$5626:$G$5634,G5626))</f>
        <v>0</v>
      </c>
      <c r="E5626" s="2721">
        <v>1</v>
      </c>
      <c r="F5626" s="293"/>
      <c r="G5626" s="2467" t="s">
        <v>2792</v>
      </c>
      <c r="H5626" s="2298"/>
      <c r="I5626" s="2275"/>
      <c r="J5626" s="2296"/>
      <c r="K5626" s="439"/>
      <c r="L5626" s="437"/>
      <c r="M5626" s="438"/>
      <c r="N5626" s="439"/>
      <c r="O5626" s="437"/>
      <c r="P5626" s="438"/>
      <c r="Q5626" s="442"/>
      <c r="R5626" s="443"/>
      <c r="S5626" s="364"/>
      <c r="Z5626" s="609" t="s">
        <v>2066</v>
      </c>
      <c r="AA5626" s="609" t="s">
        <v>19</v>
      </c>
    </row>
    <row r="5627" spans="1:27" ht="18">
      <c r="A5627" s="2714"/>
      <c r="B5627" s="371">
        <v>102</v>
      </c>
      <c r="C5627" s="371" t="s">
        <v>2791</v>
      </c>
      <c r="D5627" s="2716">
        <f t="shared" si="606"/>
        <v>0</v>
      </c>
      <c r="E5627" s="2721">
        <v>1</v>
      </c>
      <c r="F5627" s="293"/>
      <c r="G5627" s="2467" t="s">
        <v>2792</v>
      </c>
      <c r="H5627" s="2298"/>
      <c r="I5627" s="2275"/>
      <c r="J5627" s="2296"/>
      <c r="L5627" s="437"/>
      <c r="M5627" s="438"/>
      <c r="N5627" s="439"/>
      <c r="O5627" s="437"/>
      <c r="P5627" s="438"/>
      <c r="Q5627" s="442"/>
      <c r="R5627" s="443"/>
      <c r="S5627" s="364"/>
      <c r="Z5627" s="609" t="s">
        <v>2066</v>
      </c>
      <c r="AA5627" s="609" t="s">
        <v>19</v>
      </c>
    </row>
    <row r="5628" spans="1:27" ht="18">
      <c r="A5628" s="2714"/>
      <c r="B5628" s="371">
        <v>103</v>
      </c>
      <c r="C5628" s="371" t="s">
        <v>2791</v>
      </c>
      <c r="D5628" s="2716">
        <f t="shared" si="606"/>
        <v>0</v>
      </c>
      <c r="E5628" s="2721">
        <v>1</v>
      </c>
      <c r="F5628" s="293"/>
      <c r="G5628" s="2467" t="s">
        <v>2792</v>
      </c>
      <c r="H5628" s="2298"/>
      <c r="I5628" s="2275"/>
      <c r="J5628" s="2296"/>
      <c r="L5628" s="437"/>
      <c r="M5628" s="438"/>
      <c r="N5628" s="439"/>
      <c r="O5628" s="437"/>
      <c r="P5628" s="438"/>
      <c r="Q5628" s="442"/>
      <c r="R5628" s="443"/>
      <c r="S5628" s="364"/>
      <c r="Z5628" s="609" t="s">
        <v>2066</v>
      </c>
      <c r="AA5628" s="609" t="s">
        <v>19</v>
      </c>
    </row>
    <row r="5629" spans="1:27" ht="18">
      <c r="A5629" s="2714"/>
      <c r="B5629" s="371">
        <v>104</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105</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106</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
      <c r="A5632" s="2714"/>
      <c r="B5632" s="371">
        <v>107</v>
      </c>
      <c r="C5632" s="371" t="s">
        <v>2791</v>
      </c>
      <c r="D5632" s="2716">
        <f t="shared" si="606"/>
        <v>0</v>
      </c>
      <c r="E5632" s="2721">
        <v>1</v>
      </c>
      <c r="F5632" s="293"/>
      <c r="G5632" s="2467" t="s">
        <v>2792</v>
      </c>
      <c r="H5632" s="2298"/>
      <c r="I5632" s="2275"/>
      <c r="J5632" s="2296"/>
      <c r="K5632" s="439"/>
      <c r="L5632" s="437"/>
      <c r="M5632" s="438"/>
      <c r="N5632" s="439"/>
      <c r="O5632" s="437"/>
      <c r="P5632" s="438"/>
      <c r="Q5632" s="442"/>
      <c r="R5632" s="443"/>
      <c r="S5632" s="364"/>
      <c r="Z5632" s="609" t="s">
        <v>2066</v>
      </c>
      <c r="AA5632" s="609" t="s">
        <v>19</v>
      </c>
    </row>
    <row r="5633" spans="1:27" ht="18">
      <c r="A5633" s="2714"/>
      <c r="B5633" s="371">
        <v>108</v>
      </c>
      <c r="C5633" s="371" t="s">
        <v>2791</v>
      </c>
      <c r="D5633" s="2716">
        <f t="shared" si="606"/>
        <v>0</v>
      </c>
      <c r="E5633" s="2721">
        <v>1</v>
      </c>
      <c r="F5633" s="293"/>
      <c r="G5633" s="2467" t="s">
        <v>2792</v>
      </c>
      <c r="H5633" s="2298"/>
      <c r="I5633" s="2275"/>
      <c r="J5633" s="2296"/>
      <c r="K5633" s="439"/>
      <c r="L5633" s="437"/>
      <c r="M5633" s="438"/>
      <c r="N5633" s="439"/>
      <c r="O5633" s="437"/>
      <c r="P5633" s="438"/>
      <c r="Q5633" s="442"/>
      <c r="R5633" s="443"/>
      <c r="S5633" s="364"/>
      <c r="Z5633" s="609" t="s">
        <v>2066</v>
      </c>
      <c r="AA5633" s="609" t="s">
        <v>19</v>
      </c>
    </row>
    <row r="5634" spans="1:27" ht="18.75" thickBot="1">
      <c r="A5634" s="2714"/>
      <c r="B5634" s="371"/>
      <c r="C5634" s="371"/>
      <c r="D5634" s="2716">
        <f t="shared" si="606"/>
        <v>1</v>
      </c>
      <c r="E5634" s="2721" t="s">
        <v>2751</v>
      </c>
      <c r="F5634" s="293"/>
      <c r="G5634" s="374" t="s">
        <v>2752</v>
      </c>
      <c r="H5634" s="2261"/>
      <c r="I5634" s="1478">
        <f>SUMPRODUCT($E5625:$E5633,I5625:I5633)</f>
        <v>0</v>
      </c>
      <c r="J5634" s="1479">
        <f>SUMPRODUCT($E5625:$E5633,J5625:J5633)</f>
        <v>0</v>
      </c>
      <c r="K5634" s="439"/>
      <c r="L5634" s="437"/>
      <c r="M5634" s="440"/>
      <c r="N5634" s="439"/>
      <c r="O5634" s="437"/>
      <c r="P5634" s="440"/>
      <c r="Q5634" s="442"/>
      <c r="R5634" s="443"/>
      <c r="S5634" s="364"/>
      <c r="Z5634" s="609" t="s">
        <v>2066</v>
      </c>
      <c r="AA5634" s="609" t="s">
        <v>19</v>
      </c>
    </row>
    <row r="5635" spans="1:27" ht="18">
      <c r="A5635" s="2714"/>
      <c r="B5635" s="371"/>
      <c r="C5635" s="371" t="s">
        <v>2755</v>
      </c>
      <c r="D5635" s="2716"/>
      <c r="F5635" s="293"/>
      <c r="G5635" s="376"/>
      <c r="H5635" s="393"/>
      <c r="I5635" s="396"/>
      <c r="J5635" s="315"/>
      <c r="K5635" s="426"/>
      <c r="L5635" s="427"/>
      <c r="M5635" s="425"/>
      <c r="N5635" s="426"/>
      <c r="O5635" s="427"/>
      <c r="P5635" s="425"/>
      <c r="Q5635" s="442"/>
      <c r="R5635" s="443"/>
      <c r="S5635" s="364"/>
      <c r="Z5635" s="609" t="s">
        <v>2066</v>
      </c>
      <c r="AA5635" s="609" t="s">
        <v>19</v>
      </c>
    </row>
    <row r="5636" spans="1:27" ht="24">
      <c r="A5636" s="2714" t="s">
        <v>2067</v>
      </c>
      <c r="B5636" s="371">
        <v>5.12</v>
      </c>
      <c r="C5636" s="371"/>
      <c r="D5636" s="2716" t="str">
        <f>VLOOKUP($A5636,Sheet_NoteList,2,0)</f>
        <v>出售商品、提供劳务的关联交易情况</v>
      </c>
      <c r="E5636" s="2716" t="s">
        <v>2742</v>
      </c>
      <c r="F5636" s="293"/>
      <c r="G5636" s="372" t="str">
        <f>"("&amp;B5636&amp;")"&amp;D5636</f>
        <v>(5.12)出售商品、提供劳务的关联交易情况</v>
      </c>
      <c r="H5636" s="1517" t="str">
        <f>$A5636</f>
        <v>9120n</v>
      </c>
      <c r="I5636" s="343" t="s">
        <v>2743</v>
      </c>
      <c r="J5636" s="301" t="s">
        <v>2744</v>
      </c>
      <c r="K5636" s="2210">
        <f>I5647</f>
        <v>0</v>
      </c>
      <c r="L5636" s="349"/>
      <c r="M5636" s="301" t="s">
        <v>2745</v>
      </c>
      <c r="N5636" s="2210">
        <f>J5647</f>
        <v>0</v>
      </c>
      <c r="O5636" s="349"/>
      <c r="P5636" s="301"/>
      <c r="S5636" s="364"/>
      <c r="Z5636" s="609" t="s">
        <v>2066</v>
      </c>
      <c r="AA5636" s="609" t="s">
        <v>19</v>
      </c>
    </row>
    <row r="5637" spans="1:27" ht="0.75" customHeight="1" thickBot="1">
      <c r="A5637" s="2714"/>
      <c r="B5637" s="371"/>
      <c r="C5637" s="371"/>
      <c r="D5637" s="2716"/>
      <c r="E5637" s="586"/>
      <c r="F5637" s="586"/>
      <c r="G5637" s="2224" t="s">
        <v>4438</v>
      </c>
      <c r="H5637" s="371" t="s">
        <v>3067</v>
      </c>
      <c r="I5637" s="371" t="s">
        <v>2748</v>
      </c>
      <c r="J5637" s="371" t="s">
        <v>2948</v>
      </c>
      <c r="K5637" s="428"/>
      <c r="L5637" s="428"/>
      <c r="M5637" s="433"/>
      <c r="N5637" s="428"/>
      <c r="O5637" s="428"/>
      <c r="P5637" s="433"/>
      <c r="Q5637" s="442"/>
      <c r="R5637" s="443"/>
      <c r="S5637" s="364"/>
      <c r="Z5637" s="609" t="s">
        <v>2066</v>
      </c>
      <c r="AA5637" s="609" t="s">
        <v>19</v>
      </c>
    </row>
    <row r="5638" spans="1:27" ht="18">
      <c r="A5638" s="2714"/>
      <c r="B5638" s="371"/>
      <c r="C5638" s="371"/>
      <c r="D5638" s="2716"/>
      <c r="E5638" s="586" t="s">
        <v>2749</v>
      </c>
      <c r="F5638" s="414"/>
      <c r="G5638" s="2457" t="s">
        <v>4436</v>
      </c>
      <c r="H5638" s="2464" t="s">
        <v>4437</v>
      </c>
      <c r="I5638" s="2464" t="str">
        <f>$W$4&amp;"发生额"</f>
        <v>2019年度发生额</v>
      </c>
      <c r="J5638" s="2469" t="str">
        <f>$W$5&amp;"发生额"</f>
        <v>2018年度发生额</v>
      </c>
      <c r="K5638" s="355" t="s">
        <v>5350</v>
      </c>
      <c r="L5638" s="434"/>
      <c r="M5638" s="435"/>
      <c r="N5638" s="434"/>
      <c r="O5638" s="434"/>
      <c r="P5638" s="435"/>
      <c r="Q5638" s="442"/>
      <c r="R5638" s="443"/>
      <c r="S5638" s="364"/>
      <c r="Z5638" s="609" t="s">
        <v>2066</v>
      </c>
      <c r="AA5638" s="609" t="s">
        <v>19</v>
      </c>
    </row>
    <row r="5639" spans="1:27" ht="18">
      <c r="A5639" s="2714"/>
      <c r="B5639" s="371">
        <v>101</v>
      </c>
      <c r="C5639" s="371" t="s">
        <v>2791</v>
      </c>
      <c r="D5639" s="2716">
        <f t="shared" ref="D5639:D5647" si="607">IF(OR(G5639="*",G5639="",G5639=0),0,COUNTIF($G$5639:$G$5647,G5639))</f>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102</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103</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104</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105</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106</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
      <c r="A5645" s="2714"/>
      <c r="B5645" s="371">
        <v>107</v>
      </c>
      <c r="C5645" s="371" t="s">
        <v>2791</v>
      </c>
      <c r="D5645" s="2716">
        <f t="shared" si="607"/>
        <v>0</v>
      </c>
      <c r="E5645" s="2721">
        <v>1</v>
      </c>
      <c r="F5645" s="293"/>
      <c r="G5645" s="2467" t="s">
        <v>2792</v>
      </c>
      <c r="H5645" s="2298"/>
      <c r="I5645" s="2275"/>
      <c r="J5645" s="2296"/>
      <c r="K5645" s="439"/>
      <c r="L5645" s="437"/>
      <c r="M5645" s="438"/>
      <c r="N5645" s="439"/>
      <c r="O5645" s="437"/>
      <c r="P5645" s="438"/>
      <c r="Q5645" s="442"/>
      <c r="R5645" s="443"/>
      <c r="S5645" s="364"/>
      <c r="Z5645" s="609" t="s">
        <v>2066</v>
      </c>
      <c r="AA5645" s="609" t="s">
        <v>19</v>
      </c>
    </row>
    <row r="5646" spans="1:27" ht="18">
      <c r="A5646" s="2714"/>
      <c r="B5646" s="371">
        <v>108</v>
      </c>
      <c r="C5646" s="371" t="s">
        <v>2791</v>
      </c>
      <c r="D5646" s="2716">
        <f t="shared" si="607"/>
        <v>0</v>
      </c>
      <c r="E5646" s="2721">
        <v>1</v>
      </c>
      <c r="F5646" s="293"/>
      <c r="G5646" s="2467" t="s">
        <v>2792</v>
      </c>
      <c r="H5646" s="2298"/>
      <c r="I5646" s="2275"/>
      <c r="J5646" s="2296"/>
      <c r="K5646" s="439"/>
      <c r="L5646" s="437"/>
      <c r="M5646" s="438"/>
      <c r="N5646" s="439"/>
      <c r="O5646" s="437"/>
      <c r="P5646" s="438"/>
      <c r="Q5646" s="442"/>
      <c r="R5646" s="443"/>
      <c r="S5646" s="364"/>
      <c r="Z5646" s="609" t="s">
        <v>2066</v>
      </c>
      <c r="AA5646" s="609" t="s">
        <v>19</v>
      </c>
    </row>
    <row r="5647" spans="1:27" ht="18.75" thickBot="1">
      <c r="A5647" s="2714"/>
      <c r="B5647" s="371"/>
      <c r="C5647" s="371"/>
      <c r="D5647" s="2716">
        <f t="shared" si="607"/>
        <v>1</v>
      </c>
      <c r="E5647" s="2721" t="s">
        <v>2751</v>
      </c>
      <c r="F5647" s="293"/>
      <c r="G5647" s="374" t="s">
        <v>2752</v>
      </c>
      <c r="H5647" s="2261"/>
      <c r="I5647" s="1478">
        <f>SUMPRODUCT($E5638:$E5646,I5638:I5646)</f>
        <v>0</v>
      </c>
      <c r="J5647" s="1479">
        <f>SUMPRODUCT($E5638:$E5646,J5638:J5646)</f>
        <v>0</v>
      </c>
      <c r="K5647" s="439"/>
      <c r="L5647" s="437"/>
      <c r="M5647" s="440"/>
      <c r="N5647" s="439"/>
      <c r="O5647" s="437"/>
      <c r="P5647" s="440"/>
      <c r="Q5647" s="442"/>
      <c r="R5647" s="443"/>
      <c r="S5647" s="364"/>
      <c r="Z5647" s="609" t="s">
        <v>2066</v>
      </c>
      <c r="AA5647" s="609" t="s">
        <v>19</v>
      </c>
    </row>
    <row r="5648" spans="1:27" ht="18">
      <c r="A5648" s="2714"/>
      <c r="B5648" s="371"/>
      <c r="C5648" s="371" t="s">
        <v>2755</v>
      </c>
      <c r="D5648" s="2716"/>
      <c r="F5648" s="293"/>
      <c r="G5648" s="376"/>
      <c r="H5648" s="393"/>
      <c r="I5648" s="396"/>
      <c r="J5648" s="315"/>
      <c r="K5648" s="426"/>
      <c r="L5648" s="427"/>
      <c r="M5648" s="425"/>
      <c r="N5648" s="426"/>
      <c r="O5648" s="427"/>
      <c r="P5648" s="425"/>
      <c r="Q5648" s="442"/>
      <c r="R5648" s="443"/>
      <c r="S5648" s="364"/>
      <c r="Z5648" s="609" t="s">
        <v>2066</v>
      </c>
      <c r="AA5648" s="609" t="s">
        <v>19</v>
      </c>
    </row>
    <row r="5649" spans="1:27" ht="24">
      <c r="A5649" s="2714" t="s">
        <v>2069</v>
      </c>
      <c r="B5649" s="371">
        <v>5.21</v>
      </c>
      <c r="C5649" s="371"/>
      <c r="D5649" s="2716" t="str">
        <f>VLOOKUP($A5649,Sheet_NoteList,2,0)</f>
        <v>受托管理或承包情况表</v>
      </c>
      <c r="E5649" s="2716" t="s">
        <v>2742</v>
      </c>
      <c r="F5649" s="294"/>
      <c r="G5649" s="483" t="str">
        <f>"("&amp;B5649&amp;")"&amp;D5649</f>
        <v>(5.21)受托管理或承包情况表</v>
      </c>
      <c r="H5649" s="1517" t="str">
        <f>$A5649</f>
        <v>9120c</v>
      </c>
      <c r="I5649" s="343" t="s">
        <v>2743</v>
      </c>
      <c r="J5649" s="301"/>
      <c r="K5649" s="3081"/>
      <c r="L5649" s="315"/>
      <c r="M5649" s="301"/>
      <c r="N5649" s="3081"/>
      <c r="O5649" s="315"/>
      <c r="P5649" s="301"/>
      <c r="S5649" s="364"/>
      <c r="Z5649" s="609" t="s">
        <v>2066</v>
      </c>
      <c r="AA5649" s="609"/>
    </row>
    <row r="5650" spans="1:27" ht="0.75" customHeight="1" thickBot="1">
      <c r="A5650" s="2714"/>
      <c r="B5650" s="371"/>
      <c r="C5650" s="371"/>
      <c r="D5650" s="371"/>
      <c r="E5650" s="586"/>
      <c r="F5650" s="586"/>
      <c r="G5650" s="586" t="s">
        <v>4439</v>
      </c>
      <c r="H5650" s="371" t="s">
        <v>4440</v>
      </c>
      <c r="I5650" s="371" t="s">
        <v>4441</v>
      </c>
      <c r="J5650" s="371" t="s">
        <v>4442</v>
      </c>
      <c r="K5650" s="371" t="s">
        <v>4443</v>
      </c>
      <c r="L5650" s="371" t="s">
        <v>4444</v>
      </c>
      <c r="M5650" s="371" t="s">
        <v>4445</v>
      </c>
      <c r="N5650" s="291"/>
      <c r="O5650" s="291"/>
      <c r="P5650" s="291"/>
      <c r="S5650" s="364"/>
      <c r="Z5650" s="609" t="s">
        <v>2066</v>
      </c>
      <c r="AA5650" s="609"/>
    </row>
    <row r="5651" spans="1:27" ht="24">
      <c r="A5651" s="2714"/>
      <c r="B5651" s="371"/>
      <c r="C5651" s="371"/>
      <c r="D5651" s="371"/>
      <c r="E5651" s="586" t="s">
        <v>2749</v>
      </c>
      <c r="F5651" s="363"/>
      <c r="G5651" s="2457" t="s">
        <v>5238</v>
      </c>
      <c r="H5651" s="2464" t="s">
        <v>5239</v>
      </c>
      <c r="I5651" s="2464" t="s">
        <v>5240</v>
      </c>
      <c r="J5651" s="2464" t="s">
        <v>5241</v>
      </c>
      <c r="K5651" s="2464" t="s">
        <v>5242</v>
      </c>
      <c r="L5651" s="2464" t="s">
        <v>5243</v>
      </c>
      <c r="M5651" s="2469" t="s">
        <v>5244</v>
      </c>
      <c r="N5651" s="355" t="s">
        <v>5350</v>
      </c>
      <c r="O5651" s="291"/>
      <c r="P5651" s="291"/>
      <c r="S5651" s="364"/>
      <c r="Z5651" s="609" t="s">
        <v>2066</v>
      </c>
      <c r="AA5651" s="609"/>
    </row>
    <row r="5652" spans="1:27" ht="18">
      <c r="A5652" s="2714"/>
      <c r="B5652" s="371">
        <v>101</v>
      </c>
      <c r="C5652" s="371" t="s">
        <v>2791</v>
      </c>
      <c r="D5652" s="2716">
        <f t="shared" ref="D5652:D5657" si="608">IF(OR(G5652="*",G5652="",G5652=0),0,COUNTIF($G$5652:$G$5657,G5652))</f>
        <v>0</v>
      </c>
      <c r="E5652" s="2721">
        <v>1</v>
      </c>
      <c r="F5652" s="294"/>
      <c r="G5652" s="2467"/>
      <c r="H5652" s="2298"/>
      <c r="I5652" s="2298"/>
      <c r="J5652" s="2298"/>
      <c r="K5652" s="2298"/>
      <c r="L5652" s="2298"/>
      <c r="M5652" s="2296"/>
      <c r="N5652" s="291"/>
      <c r="O5652" s="291"/>
      <c r="P5652" s="291"/>
      <c r="S5652" s="364"/>
      <c r="Z5652" s="609" t="s">
        <v>2066</v>
      </c>
      <c r="AA5652" s="609"/>
    </row>
    <row r="5653" spans="1:27" ht="18">
      <c r="A5653" s="2714"/>
      <c r="B5653" s="371">
        <v>102</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103</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
      <c r="A5655" s="2714"/>
      <c r="B5655" s="371">
        <v>104</v>
      </c>
      <c r="C5655" s="371" t="s">
        <v>2791</v>
      </c>
      <c r="D5655" s="2716">
        <f t="shared" si="608"/>
        <v>0</v>
      </c>
      <c r="E5655" s="2721">
        <v>1</v>
      </c>
      <c r="F5655" s="294"/>
      <c r="G5655" s="2467" t="s">
        <v>2792</v>
      </c>
      <c r="H5655" s="2298"/>
      <c r="I5655" s="2298"/>
      <c r="J5655" s="2298"/>
      <c r="K5655" s="2298"/>
      <c r="L5655" s="2298"/>
      <c r="M5655" s="2296"/>
      <c r="N5655" s="291"/>
      <c r="O5655" s="291"/>
      <c r="P5655" s="291"/>
      <c r="S5655" s="364"/>
      <c r="Z5655" s="609" t="s">
        <v>2066</v>
      </c>
      <c r="AA5655" s="609"/>
    </row>
    <row r="5656" spans="1:27" ht="18">
      <c r="A5656" s="2714"/>
      <c r="B5656" s="371">
        <v>105</v>
      </c>
      <c r="C5656" s="371" t="s">
        <v>2791</v>
      </c>
      <c r="D5656" s="2716">
        <f t="shared" si="608"/>
        <v>0</v>
      </c>
      <c r="E5656" s="2721">
        <v>1</v>
      </c>
      <c r="F5656" s="294"/>
      <c r="G5656" s="2467" t="s">
        <v>2792</v>
      </c>
      <c r="H5656" s="2298"/>
      <c r="I5656" s="2298"/>
      <c r="J5656" s="2298"/>
      <c r="K5656" s="2298"/>
      <c r="L5656" s="2298"/>
      <c r="M5656" s="2296"/>
      <c r="N5656" s="291"/>
      <c r="O5656" s="291"/>
      <c r="P5656" s="291"/>
      <c r="S5656" s="364"/>
      <c r="Z5656" s="609" t="s">
        <v>2066</v>
      </c>
      <c r="AA5656" s="609"/>
    </row>
    <row r="5657" spans="1:27" ht="18.75" thickBot="1">
      <c r="A5657" s="2714"/>
      <c r="B5657" s="371"/>
      <c r="C5657" s="371"/>
      <c r="D5657" s="2716">
        <f t="shared" si="608"/>
        <v>1</v>
      </c>
      <c r="E5657" s="2721" t="s">
        <v>3032</v>
      </c>
      <c r="F5657" s="294"/>
      <c r="G5657" s="374" t="s">
        <v>2752</v>
      </c>
      <c r="H5657" s="2261"/>
      <c r="I5657" s="2261"/>
      <c r="J5657" s="2261"/>
      <c r="K5657" s="2261"/>
      <c r="L5657" s="2261"/>
      <c r="M5657" s="1479">
        <f>SUMPRODUCT($E5651:$E5656,M5651:M5656)</f>
        <v>0</v>
      </c>
      <c r="N5657" s="291"/>
      <c r="O5657" s="291"/>
      <c r="P5657" s="291"/>
      <c r="S5657" s="364"/>
      <c r="Z5657" s="609" t="s">
        <v>2066</v>
      </c>
      <c r="AA5657" s="609"/>
    </row>
    <row r="5658" spans="1:27" ht="18">
      <c r="A5658" s="2714"/>
      <c r="B5658" s="371"/>
      <c r="C5658" s="371" t="s">
        <v>2755</v>
      </c>
      <c r="D5658" s="371"/>
      <c r="F5658" s="294"/>
      <c r="G5658" s="301"/>
      <c r="H5658" s="393"/>
      <c r="I5658" s="393"/>
      <c r="J5658" s="393"/>
      <c r="K5658" s="393"/>
      <c r="L5658" s="393"/>
      <c r="M5658" s="315"/>
      <c r="N5658" s="291"/>
      <c r="O5658" s="291"/>
      <c r="P5658" s="291"/>
      <c r="S5658" s="364"/>
      <c r="Z5658" s="609" t="s">
        <v>2066</v>
      </c>
      <c r="AA5658" s="609"/>
    </row>
    <row r="5659" spans="1:27" ht="24">
      <c r="A5659" s="2714" t="s">
        <v>2072</v>
      </c>
      <c r="B5659" s="371">
        <v>5.22</v>
      </c>
      <c r="C5659" s="371"/>
      <c r="D5659" s="2716" t="str">
        <f>VLOOKUP($A5659,Sheet_NoteList,2,0)</f>
        <v>委托管理或出包情况表</v>
      </c>
      <c r="E5659" s="2716" t="s">
        <v>2742</v>
      </c>
      <c r="F5659" s="294"/>
      <c r="G5659" s="483" t="str">
        <f>"("&amp;B5659&amp;")"&amp;D5659</f>
        <v>(5.22)委托管理或出包情况表</v>
      </c>
      <c r="H5659" s="1517" t="str">
        <f>$A5659</f>
        <v>9120d</v>
      </c>
      <c r="I5659" s="343" t="s">
        <v>2743</v>
      </c>
      <c r="J5659" s="301"/>
      <c r="K5659" s="3081"/>
      <c r="L5659" s="315"/>
      <c r="M5659" s="301"/>
      <c r="N5659" s="3081"/>
      <c r="O5659" s="315"/>
      <c r="P5659" s="301"/>
      <c r="S5659" s="364"/>
      <c r="Z5659" s="609" t="s">
        <v>2066</v>
      </c>
      <c r="AA5659" s="609"/>
    </row>
    <row r="5660" spans="1:27" ht="0.75" customHeight="1" thickBot="1">
      <c r="A5660" s="2714"/>
      <c r="B5660" s="371"/>
      <c r="C5660" s="371"/>
      <c r="D5660" s="371"/>
      <c r="E5660" s="586"/>
      <c r="F5660" s="586"/>
      <c r="G5660" s="586" t="s">
        <v>4446</v>
      </c>
      <c r="H5660" s="371" t="s">
        <v>4440</v>
      </c>
      <c r="I5660" s="371" t="s">
        <v>4441</v>
      </c>
      <c r="J5660" s="371" t="s">
        <v>4442</v>
      </c>
      <c r="K5660" s="371" t="s">
        <v>4443</v>
      </c>
      <c r="L5660" s="371" t="s">
        <v>4444</v>
      </c>
      <c r="M5660" s="371" t="s">
        <v>4447</v>
      </c>
      <c r="N5660" s="291"/>
      <c r="O5660" s="291"/>
      <c r="P5660" s="291"/>
      <c r="S5660" s="364"/>
      <c r="Z5660" s="609" t="s">
        <v>2066</v>
      </c>
      <c r="AA5660" s="609"/>
    </row>
    <row r="5661" spans="1:27" ht="24">
      <c r="A5661" s="2714"/>
      <c r="B5661" s="371"/>
      <c r="C5661" s="371"/>
      <c r="D5661" s="371"/>
      <c r="E5661" s="586" t="s">
        <v>2749</v>
      </c>
      <c r="F5661" s="363"/>
      <c r="G5661" s="2457" t="s">
        <v>5238</v>
      </c>
      <c r="H5661" s="2464" t="s">
        <v>5239</v>
      </c>
      <c r="I5661" s="2464" t="s">
        <v>5245</v>
      </c>
      <c r="J5661" s="2464" t="s">
        <v>5246</v>
      </c>
      <c r="K5661" s="2464" t="s">
        <v>5247</v>
      </c>
      <c r="L5661" s="2464" t="s">
        <v>5248</v>
      </c>
      <c r="M5661" s="2469" t="s">
        <v>5249</v>
      </c>
      <c r="N5661" s="355" t="s">
        <v>5350</v>
      </c>
      <c r="O5661" s="291"/>
      <c r="P5661" s="291"/>
      <c r="S5661" s="364"/>
      <c r="Z5661" s="609" t="s">
        <v>2066</v>
      </c>
      <c r="AA5661" s="609"/>
    </row>
    <row r="5662" spans="1:27" ht="18">
      <c r="A5662" s="2714"/>
      <c r="B5662" s="371">
        <v>101</v>
      </c>
      <c r="C5662" s="371" t="s">
        <v>2791</v>
      </c>
      <c r="D5662" s="2716">
        <f t="shared" ref="D5662:D5667" si="609">IF(OR(G5662="*",G5662="",G5662=0),0,COUNTIF($G$5662:$G$5667,G5662))</f>
        <v>0</v>
      </c>
      <c r="E5662" s="2721">
        <v>1</v>
      </c>
      <c r="F5662" s="294"/>
      <c r="G5662" s="2467"/>
      <c r="H5662" s="2298"/>
      <c r="I5662" s="2298"/>
      <c r="J5662" s="2298"/>
      <c r="K5662" s="2298"/>
      <c r="L5662" s="2298"/>
      <c r="M5662" s="2296"/>
      <c r="N5662" s="291"/>
      <c r="O5662" s="291"/>
      <c r="P5662" s="291"/>
      <c r="S5662" s="364"/>
      <c r="Z5662" s="609" t="s">
        <v>2066</v>
      </c>
      <c r="AA5662" s="609"/>
    </row>
    <row r="5663" spans="1:27" ht="18">
      <c r="A5663" s="2714"/>
      <c r="B5663" s="371">
        <v>102</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103</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
      <c r="A5665" s="2714"/>
      <c r="B5665" s="371">
        <v>104</v>
      </c>
      <c r="C5665" s="371" t="s">
        <v>2791</v>
      </c>
      <c r="D5665" s="2716">
        <f t="shared" si="609"/>
        <v>0</v>
      </c>
      <c r="E5665" s="2721">
        <v>1</v>
      </c>
      <c r="F5665" s="294"/>
      <c r="G5665" s="2467" t="s">
        <v>2792</v>
      </c>
      <c r="H5665" s="2298"/>
      <c r="I5665" s="2298"/>
      <c r="J5665" s="2298"/>
      <c r="K5665" s="2298"/>
      <c r="L5665" s="2298"/>
      <c r="M5665" s="2296"/>
      <c r="N5665" s="291"/>
      <c r="O5665" s="291"/>
      <c r="P5665" s="291"/>
      <c r="S5665" s="364"/>
      <c r="Z5665" s="609" t="s">
        <v>2066</v>
      </c>
      <c r="AA5665" s="609"/>
    </row>
    <row r="5666" spans="1:27" ht="18">
      <c r="A5666" s="2714"/>
      <c r="B5666" s="371">
        <v>105</v>
      </c>
      <c r="C5666" s="371" t="s">
        <v>2791</v>
      </c>
      <c r="D5666" s="2716">
        <f t="shared" si="609"/>
        <v>0</v>
      </c>
      <c r="E5666" s="2721">
        <v>1</v>
      </c>
      <c r="F5666" s="294"/>
      <c r="G5666" s="2467" t="s">
        <v>2792</v>
      </c>
      <c r="H5666" s="2298"/>
      <c r="I5666" s="2298"/>
      <c r="J5666" s="2298"/>
      <c r="K5666" s="2298"/>
      <c r="L5666" s="2298"/>
      <c r="M5666" s="2296"/>
      <c r="N5666" s="291"/>
      <c r="O5666" s="291"/>
      <c r="P5666" s="291"/>
      <c r="S5666" s="364"/>
      <c r="Z5666" s="609" t="s">
        <v>2066</v>
      </c>
      <c r="AA5666" s="609"/>
    </row>
    <row r="5667" spans="1:27" ht="18.75" thickBot="1">
      <c r="A5667" s="2714"/>
      <c r="B5667" s="371"/>
      <c r="C5667" s="371"/>
      <c r="D5667" s="2716">
        <f t="shared" si="609"/>
        <v>1</v>
      </c>
      <c r="E5667" s="2721" t="s">
        <v>3032</v>
      </c>
      <c r="F5667" s="294"/>
      <c r="G5667" s="374" t="s">
        <v>2752</v>
      </c>
      <c r="H5667" s="2261"/>
      <c r="I5667" s="2261"/>
      <c r="J5667" s="2261"/>
      <c r="K5667" s="2261"/>
      <c r="L5667" s="2261"/>
      <c r="M5667" s="1479">
        <f>SUMPRODUCT($E5661:$E5666,M5661:M5666)</f>
        <v>0</v>
      </c>
      <c r="N5667" s="291"/>
      <c r="O5667" s="291"/>
      <c r="P5667" s="291"/>
      <c r="S5667" s="364"/>
      <c r="Z5667" s="609" t="s">
        <v>2066</v>
      </c>
      <c r="AA5667" s="609"/>
    </row>
    <row r="5668" spans="1:27" ht="18">
      <c r="A5668" s="2714"/>
      <c r="B5668" s="371"/>
      <c r="C5668" s="371" t="s">
        <v>2755</v>
      </c>
      <c r="D5668" s="371"/>
      <c r="F5668" s="294"/>
      <c r="G5668" s="301"/>
      <c r="H5668" s="393"/>
      <c r="I5668" s="393"/>
      <c r="J5668" s="393"/>
      <c r="K5668" s="393"/>
      <c r="L5668" s="393"/>
      <c r="M5668" s="315"/>
      <c r="N5668" s="291"/>
      <c r="O5668" s="291"/>
      <c r="P5668" s="291"/>
      <c r="S5668" s="364"/>
      <c r="Z5668" s="609" t="s">
        <v>2066</v>
      </c>
      <c r="AA5668" s="609"/>
    </row>
    <row r="5669" spans="1:27" ht="24">
      <c r="A5669" s="2714" t="s">
        <v>2075</v>
      </c>
      <c r="B5669" s="371">
        <v>5.31</v>
      </c>
      <c r="C5669" s="371"/>
      <c r="D5669" s="2716" t="str">
        <f>VLOOKUP($A5669,Sheet_NoteList,2,0)</f>
        <v>关联租赁情况——公司出租</v>
      </c>
      <c r="E5669" s="2716" t="s">
        <v>2742</v>
      </c>
      <c r="F5669" s="294"/>
      <c r="G5669" s="483" t="str">
        <f>"("&amp;B5669&amp;")"&amp;D5669</f>
        <v>(5.31)关联租赁情况——公司出租</v>
      </c>
      <c r="H5669" s="1517" t="str">
        <f>$A5669</f>
        <v>9120e</v>
      </c>
      <c r="I5669" s="343" t="s">
        <v>2743</v>
      </c>
      <c r="J5669" s="301"/>
      <c r="K5669" s="3081"/>
      <c r="L5669" s="315"/>
      <c r="M5669" s="301"/>
      <c r="N5669" s="3081"/>
      <c r="O5669" s="315"/>
      <c r="P5669" s="301"/>
      <c r="S5669" s="364"/>
      <c r="Z5669" s="609" t="s">
        <v>2066</v>
      </c>
      <c r="AA5669" s="609"/>
    </row>
    <row r="5670" spans="1:27" ht="0.75" customHeight="1" thickBot="1">
      <c r="A5670" s="2714"/>
      <c r="B5670" s="371"/>
      <c r="C5670" s="371"/>
      <c r="D5670" s="371"/>
      <c r="E5670" s="586"/>
      <c r="F5670" s="586"/>
      <c r="G5670" s="586" t="s">
        <v>4448</v>
      </c>
      <c r="H5670" s="371" t="s">
        <v>4449</v>
      </c>
      <c r="I5670" s="371" t="s">
        <v>4450</v>
      </c>
      <c r="J5670" s="371" t="s">
        <v>4451</v>
      </c>
      <c r="K5670" s="301"/>
      <c r="L5670" s="301"/>
      <c r="M5670" s="301"/>
      <c r="N5670" s="291"/>
      <c r="O5670" s="291"/>
      <c r="P5670" s="291"/>
      <c r="S5670" s="364"/>
      <c r="Z5670" s="609" t="s">
        <v>2066</v>
      </c>
      <c r="AA5670" s="609"/>
    </row>
    <row r="5671" spans="1:27" ht="24">
      <c r="A5671" s="2714"/>
      <c r="B5671" s="371"/>
      <c r="C5671" s="371"/>
      <c r="D5671" s="371"/>
      <c r="E5671" s="586" t="s">
        <v>2749</v>
      </c>
      <c r="F5671" s="363"/>
      <c r="G5671" s="2457" t="s">
        <v>4452</v>
      </c>
      <c r="H5671" s="2464" t="s">
        <v>4453</v>
      </c>
      <c r="I5671" s="2464" t="str">
        <f>$W$4&amp;"确认的租赁收入"</f>
        <v>2019年度确认的租赁收入</v>
      </c>
      <c r="J5671" s="2469" t="str">
        <f>$W$5&amp;"确认的租赁收入"</f>
        <v>2018年度确认的租赁收入</v>
      </c>
      <c r="K5671" s="355" t="s">
        <v>5350</v>
      </c>
      <c r="L5671" s="301"/>
      <c r="M5671" s="301"/>
      <c r="N5671" s="291"/>
      <c r="O5671" s="291"/>
      <c r="P5671" s="291"/>
      <c r="S5671" s="364"/>
      <c r="Z5671" s="609" t="s">
        <v>2066</v>
      </c>
      <c r="AA5671" s="609"/>
    </row>
    <row r="5672" spans="1:27" ht="18">
      <c r="A5672" s="2714"/>
      <c r="B5672" s="371">
        <v>101</v>
      </c>
      <c r="C5672" s="371" t="s">
        <v>2791</v>
      </c>
      <c r="D5672" s="2716">
        <f t="shared" ref="D5672:D5677" si="610">IF(OR(G5672="*",G5672="",G5672=0),0,COUNTIF($G$5672:$G$5677,G5672))</f>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102</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103</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
      <c r="A5675" s="2714"/>
      <c r="B5675" s="371">
        <v>104</v>
      </c>
      <c r="C5675" s="371" t="s">
        <v>2791</v>
      </c>
      <c r="D5675" s="2716">
        <f t="shared" si="610"/>
        <v>0</v>
      </c>
      <c r="E5675" s="2721">
        <v>1</v>
      </c>
      <c r="F5675" s="294"/>
      <c r="G5675" s="2467" t="s">
        <v>2792</v>
      </c>
      <c r="H5675" s="2298"/>
      <c r="I5675" s="2275"/>
      <c r="J5675" s="2296"/>
      <c r="K5675" s="301"/>
      <c r="L5675" s="301"/>
      <c r="M5675" s="301"/>
      <c r="N5675" s="291"/>
      <c r="O5675" s="291"/>
      <c r="P5675" s="291"/>
      <c r="S5675" s="364"/>
      <c r="Z5675" s="609" t="s">
        <v>2066</v>
      </c>
      <c r="AA5675" s="609"/>
    </row>
    <row r="5676" spans="1:27" ht="18">
      <c r="A5676" s="2714"/>
      <c r="B5676" s="371">
        <v>105</v>
      </c>
      <c r="C5676" s="371" t="s">
        <v>2791</v>
      </c>
      <c r="D5676" s="2716">
        <f t="shared" si="610"/>
        <v>0</v>
      </c>
      <c r="E5676" s="2721">
        <v>1</v>
      </c>
      <c r="F5676" s="294"/>
      <c r="G5676" s="2467" t="s">
        <v>2792</v>
      </c>
      <c r="H5676" s="2298"/>
      <c r="I5676" s="2275"/>
      <c r="J5676" s="2296"/>
      <c r="K5676" s="301"/>
      <c r="L5676" s="301"/>
      <c r="M5676" s="301"/>
      <c r="N5676" s="291"/>
      <c r="O5676" s="291"/>
      <c r="P5676" s="291"/>
      <c r="S5676" s="364"/>
      <c r="Z5676" s="609" t="s">
        <v>2066</v>
      </c>
      <c r="AA5676" s="609"/>
    </row>
    <row r="5677" spans="1:27" ht="18.75" thickBot="1">
      <c r="A5677" s="2714"/>
      <c r="B5677" s="371"/>
      <c r="C5677" s="371"/>
      <c r="D5677" s="2716">
        <f t="shared" si="610"/>
        <v>1</v>
      </c>
      <c r="E5677" s="2721" t="s">
        <v>3032</v>
      </c>
      <c r="F5677" s="294"/>
      <c r="G5677" s="374" t="s">
        <v>2752</v>
      </c>
      <c r="H5677" s="2261"/>
      <c r="I5677" s="1478">
        <f>SUMPRODUCT($E5671:$E5676,I5671:I5676)</f>
        <v>0</v>
      </c>
      <c r="J5677" s="1479">
        <f>SUMPRODUCT($E5671:$E5676,J5671:J5676)</f>
        <v>0</v>
      </c>
      <c r="K5677" s="301"/>
      <c r="L5677" s="301"/>
      <c r="M5677" s="301"/>
      <c r="N5677" s="291"/>
      <c r="O5677" s="291"/>
      <c r="P5677" s="291"/>
      <c r="S5677" s="364"/>
      <c r="Z5677" s="609" t="s">
        <v>2066</v>
      </c>
      <c r="AA5677" s="609"/>
    </row>
    <row r="5678" spans="1:27" ht="18">
      <c r="A5678" s="2714"/>
      <c r="B5678" s="371"/>
      <c r="C5678" s="371" t="s">
        <v>2755</v>
      </c>
      <c r="D5678" s="371"/>
      <c r="F5678" s="294"/>
      <c r="G5678" s="301"/>
      <c r="H5678" s="393"/>
      <c r="I5678" s="315"/>
      <c r="J5678" s="315"/>
      <c r="K5678" s="301"/>
      <c r="L5678" s="301"/>
      <c r="M5678" s="301"/>
      <c r="N5678" s="291"/>
      <c r="O5678" s="291"/>
      <c r="P5678" s="291"/>
      <c r="S5678" s="364"/>
      <c r="Z5678" s="609" t="s">
        <v>2066</v>
      </c>
      <c r="AA5678" s="609"/>
    </row>
    <row r="5679" spans="1:27" ht="24">
      <c r="A5679" s="2714" t="s">
        <v>2077</v>
      </c>
      <c r="B5679" s="371">
        <v>5.32</v>
      </c>
      <c r="C5679" s="371"/>
      <c r="D5679" s="2716" t="str">
        <f>VLOOKUP($A5679,Sheet_NoteList,2,0)</f>
        <v>关联租赁情况——公司承租</v>
      </c>
      <c r="E5679" s="2716" t="s">
        <v>2742</v>
      </c>
      <c r="F5679" s="294"/>
      <c r="G5679" s="483" t="str">
        <f>"("&amp;B5679&amp;")"&amp;D5679</f>
        <v>(5.32)关联租赁情况——公司承租</v>
      </c>
      <c r="H5679" s="1517" t="str">
        <f>$A5679</f>
        <v>9120f</v>
      </c>
      <c r="I5679" s="343" t="s">
        <v>2743</v>
      </c>
      <c r="J5679" s="301"/>
      <c r="K5679" s="3081"/>
      <c r="L5679" s="315"/>
      <c r="M5679" s="301"/>
      <c r="N5679" s="3081"/>
      <c r="O5679" s="315"/>
      <c r="P5679" s="301"/>
      <c r="S5679" s="364"/>
      <c r="Z5679" s="609" t="s">
        <v>2066</v>
      </c>
      <c r="AA5679" s="609"/>
    </row>
    <row r="5680" spans="1:27" ht="0.75" customHeight="1" thickBot="1">
      <c r="A5680" s="2714"/>
      <c r="B5680" s="371"/>
      <c r="C5680" s="371"/>
      <c r="D5680" s="371"/>
      <c r="E5680" s="586"/>
      <c r="F5680" s="586"/>
      <c r="G5680" s="586" t="s">
        <v>4454</v>
      </c>
      <c r="H5680" s="371" t="s">
        <v>4449</v>
      </c>
      <c r="I5680" s="371" t="s">
        <v>4455</v>
      </c>
      <c r="J5680" s="371" t="s">
        <v>4456</v>
      </c>
      <c r="K5680" s="301"/>
      <c r="L5680" s="301"/>
      <c r="M5680" s="301"/>
      <c r="N5680" s="291"/>
      <c r="O5680" s="291"/>
      <c r="P5680" s="291"/>
      <c r="S5680" s="364"/>
      <c r="Z5680" s="609" t="s">
        <v>2066</v>
      </c>
      <c r="AA5680" s="609"/>
    </row>
    <row r="5681" spans="1:27" ht="24">
      <c r="A5681" s="2714"/>
      <c r="B5681" s="371"/>
      <c r="C5681" s="371"/>
      <c r="D5681" s="371"/>
      <c r="E5681" s="586" t="s">
        <v>2749</v>
      </c>
      <c r="F5681" s="363"/>
      <c r="G5681" s="2457" t="s">
        <v>4457</v>
      </c>
      <c r="H5681" s="2464" t="s">
        <v>4453</v>
      </c>
      <c r="I5681" s="2464" t="str">
        <f>$W$4&amp;"确认的租赁费"</f>
        <v>2019年度确认的租赁费</v>
      </c>
      <c r="J5681" s="2469" t="str">
        <f>$W$5&amp;"确认的租赁费"</f>
        <v>2018年度确认的租赁费</v>
      </c>
      <c r="K5681" s="355" t="s">
        <v>5350</v>
      </c>
      <c r="L5681" s="301"/>
      <c r="M5681" s="301"/>
      <c r="N5681" s="291"/>
      <c r="O5681" s="291"/>
      <c r="P5681" s="291"/>
      <c r="S5681" s="364"/>
      <c r="Z5681" s="609" t="s">
        <v>2066</v>
      </c>
      <c r="AA5681" s="609"/>
    </row>
    <row r="5682" spans="1:27" ht="18">
      <c r="A5682" s="2714"/>
      <c r="B5682" s="371">
        <v>101</v>
      </c>
      <c r="C5682" s="371" t="s">
        <v>2791</v>
      </c>
      <c r="D5682" s="2716">
        <f t="shared" ref="D5682:D5687" si="611">IF(OR(G5682="*",G5682="",G5682=0),0,COUNTIF($G$5682:$G$5687,G5682))</f>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102</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103</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
      <c r="A5685" s="2714"/>
      <c r="B5685" s="371">
        <v>104</v>
      </c>
      <c r="C5685" s="371" t="s">
        <v>2791</v>
      </c>
      <c r="D5685" s="2716">
        <f t="shared" si="611"/>
        <v>0</v>
      </c>
      <c r="E5685" s="2721">
        <v>1</v>
      </c>
      <c r="F5685" s="294"/>
      <c r="G5685" s="2467" t="s">
        <v>2792</v>
      </c>
      <c r="H5685" s="2298"/>
      <c r="I5685" s="2275"/>
      <c r="J5685" s="2296"/>
      <c r="K5685" s="301"/>
      <c r="L5685" s="301"/>
      <c r="M5685" s="301"/>
      <c r="N5685" s="291"/>
      <c r="O5685" s="291"/>
      <c r="P5685" s="291"/>
      <c r="S5685" s="364"/>
      <c r="Z5685" s="609" t="s">
        <v>2066</v>
      </c>
      <c r="AA5685" s="609"/>
    </row>
    <row r="5686" spans="1:27" ht="18">
      <c r="A5686" s="2714"/>
      <c r="B5686" s="371">
        <v>105</v>
      </c>
      <c r="C5686" s="371" t="s">
        <v>2791</v>
      </c>
      <c r="D5686" s="2716">
        <f t="shared" si="611"/>
        <v>0</v>
      </c>
      <c r="E5686" s="2721">
        <v>1</v>
      </c>
      <c r="F5686" s="294"/>
      <c r="G5686" s="2467" t="s">
        <v>2792</v>
      </c>
      <c r="H5686" s="2298"/>
      <c r="I5686" s="2275"/>
      <c r="J5686" s="2296"/>
      <c r="K5686" s="301"/>
      <c r="L5686" s="301"/>
      <c r="M5686" s="301"/>
      <c r="N5686" s="291"/>
      <c r="O5686" s="291"/>
      <c r="P5686" s="291"/>
      <c r="S5686" s="364"/>
      <c r="Z5686" s="609" t="s">
        <v>2066</v>
      </c>
      <c r="AA5686" s="609"/>
    </row>
    <row r="5687" spans="1:27" ht="18.75" thickBot="1">
      <c r="A5687" s="2714"/>
      <c r="B5687" s="371"/>
      <c r="C5687" s="371"/>
      <c r="D5687" s="2716">
        <f t="shared" si="611"/>
        <v>1</v>
      </c>
      <c r="E5687" s="2721" t="s">
        <v>3032</v>
      </c>
      <c r="F5687" s="294"/>
      <c r="G5687" s="374" t="s">
        <v>2752</v>
      </c>
      <c r="H5687" s="2261"/>
      <c r="I5687" s="1478">
        <f>SUMPRODUCT($E5681:$E5686,I5681:I5686)</f>
        <v>0</v>
      </c>
      <c r="J5687" s="1479">
        <f>SUMPRODUCT($E5681:$E5686,J5681:J5686)</f>
        <v>0</v>
      </c>
      <c r="K5687" s="301"/>
      <c r="L5687" s="301"/>
      <c r="M5687" s="301"/>
      <c r="N5687" s="291"/>
      <c r="O5687" s="291"/>
      <c r="P5687" s="291"/>
      <c r="S5687" s="364"/>
      <c r="Z5687" s="609" t="s">
        <v>2066</v>
      </c>
      <c r="AA5687" s="609"/>
    </row>
    <row r="5688" spans="1:27" ht="18">
      <c r="A5688" s="2714"/>
      <c r="B5688" s="371"/>
      <c r="C5688" s="371" t="s">
        <v>2755</v>
      </c>
      <c r="D5688" s="371"/>
      <c r="F5688" s="294"/>
      <c r="G5688" s="301"/>
      <c r="H5688" s="393"/>
      <c r="I5688" s="315"/>
      <c r="J5688" s="315"/>
      <c r="K5688" s="301"/>
      <c r="L5688" s="301"/>
      <c r="M5688" s="301"/>
      <c r="N5688" s="291"/>
      <c r="O5688" s="291"/>
      <c r="P5688" s="291"/>
      <c r="S5688" s="364"/>
      <c r="Z5688" s="609" t="s">
        <v>2066</v>
      </c>
      <c r="AA5688" s="609"/>
    </row>
    <row r="5689" spans="1:27" ht="24">
      <c r="A5689" s="2714" t="s">
        <v>2079</v>
      </c>
      <c r="B5689" s="371">
        <v>5.41</v>
      </c>
      <c r="C5689" s="371"/>
      <c r="D5689" s="2716" t="str">
        <f>VLOOKUP($A5689,Sheet_NoteList,2,0)</f>
        <v>关联担保情况——作为担保方</v>
      </c>
      <c r="E5689" s="2716" t="s">
        <v>2742</v>
      </c>
      <c r="F5689" s="294"/>
      <c r="G5689" s="483" t="str">
        <f>"("&amp;B5689&amp;")"&amp;D5689</f>
        <v>(5.41)关联担保情况——作为担保方</v>
      </c>
      <c r="H5689" s="1517" t="str">
        <f>$A5689</f>
        <v>9120g</v>
      </c>
      <c r="I5689" s="343" t="s">
        <v>2743</v>
      </c>
      <c r="J5689" s="301"/>
      <c r="K5689" s="3081"/>
      <c r="L5689" s="315"/>
      <c r="M5689" s="301"/>
      <c r="N5689" s="3081"/>
      <c r="O5689" s="315"/>
      <c r="P5689" s="301"/>
      <c r="S5689" s="364"/>
      <c r="Z5689" s="609" t="s">
        <v>2066</v>
      </c>
      <c r="AA5689" s="609"/>
    </row>
    <row r="5690" spans="1:27" ht="0.75" customHeight="1" thickBot="1">
      <c r="A5690" s="2714"/>
      <c r="B5690" s="371"/>
      <c r="C5690" s="371"/>
      <c r="D5690" s="371"/>
      <c r="F5690" s="371"/>
      <c r="G5690" s="371" t="s">
        <v>4458</v>
      </c>
      <c r="H5690" s="371" t="s">
        <v>4459</v>
      </c>
      <c r="I5690" s="371" t="s">
        <v>4460</v>
      </c>
      <c r="J5690" s="371" t="s">
        <v>4461</v>
      </c>
      <c r="K5690" s="371" t="s">
        <v>4462</v>
      </c>
      <c r="L5690" s="301"/>
      <c r="M5690" s="301"/>
      <c r="N5690" s="291"/>
      <c r="O5690" s="291"/>
      <c r="P5690" s="291"/>
      <c r="S5690" s="364"/>
      <c r="Z5690" s="609" t="s">
        <v>2066</v>
      </c>
      <c r="AA5690" s="609"/>
    </row>
    <row r="5691" spans="1:27" ht="24">
      <c r="A5691" s="2714"/>
      <c r="B5691" s="371"/>
      <c r="C5691" s="371"/>
      <c r="D5691" s="371"/>
      <c r="E5691" s="2716" t="s">
        <v>2749</v>
      </c>
      <c r="F5691" s="294"/>
      <c r="G5691" s="410" t="s">
        <v>4463</v>
      </c>
      <c r="H5691" s="506" t="s">
        <v>4464</v>
      </c>
      <c r="I5691" s="412" t="s">
        <v>4465</v>
      </c>
      <c r="J5691" s="506" t="s">
        <v>4466</v>
      </c>
      <c r="K5691" s="507" t="s">
        <v>4467</v>
      </c>
      <c r="L5691" s="355" t="s">
        <v>5350</v>
      </c>
      <c r="M5691" s="301"/>
      <c r="N5691" s="291"/>
      <c r="O5691" s="291"/>
      <c r="P5691" s="291"/>
      <c r="S5691" s="364"/>
      <c r="Z5691" s="609" t="s">
        <v>2066</v>
      </c>
      <c r="AA5691" s="609"/>
    </row>
    <row r="5692" spans="1:27" ht="18">
      <c r="A5692" s="2714"/>
      <c r="B5692" s="371">
        <v>101</v>
      </c>
      <c r="C5692" s="371" t="s">
        <v>2791</v>
      </c>
      <c r="D5692" s="2716">
        <f t="shared" ref="D5692:D5697" si="612">IF(OR(G5692="*",G5692="",G5692=0),0,COUNTIF($G$5692:$G$5697,G5692))</f>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102</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103</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
      <c r="A5695" s="2714"/>
      <c r="B5695" s="371">
        <v>104</v>
      </c>
      <c r="C5695" s="371" t="s">
        <v>2791</v>
      </c>
      <c r="D5695" s="2716">
        <f t="shared" si="612"/>
        <v>0</v>
      </c>
      <c r="E5695" s="2721">
        <v>1</v>
      </c>
      <c r="F5695" s="294"/>
      <c r="G5695" s="319" t="s">
        <v>2792</v>
      </c>
      <c r="H5695" s="309"/>
      <c r="I5695" s="360"/>
      <c r="J5695" s="360"/>
      <c r="K5695" s="388"/>
      <c r="L5695" s="301"/>
      <c r="M5695" s="301"/>
      <c r="N5695" s="291"/>
      <c r="O5695" s="291"/>
      <c r="P5695" s="291"/>
      <c r="S5695" s="364"/>
      <c r="Z5695" s="609" t="s">
        <v>2066</v>
      </c>
      <c r="AA5695" s="609"/>
    </row>
    <row r="5696" spans="1:27" ht="18">
      <c r="A5696" s="2714"/>
      <c r="B5696" s="371">
        <v>105</v>
      </c>
      <c r="C5696" s="371" t="s">
        <v>2791</v>
      </c>
      <c r="D5696" s="2716">
        <f t="shared" si="612"/>
        <v>0</v>
      </c>
      <c r="E5696" s="2721">
        <v>1</v>
      </c>
      <c r="F5696" s="294"/>
      <c r="G5696" s="319" t="s">
        <v>2792</v>
      </c>
      <c r="H5696" s="309"/>
      <c r="I5696" s="360"/>
      <c r="J5696" s="360"/>
      <c r="K5696" s="388"/>
      <c r="L5696" s="301"/>
      <c r="M5696" s="301"/>
      <c r="N5696" s="291"/>
      <c r="O5696" s="291"/>
      <c r="P5696" s="291"/>
      <c r="S5696" s="364"/>
      <c r="Z5696" s="609" t="s">
        <v>2066</v>
      </c>
      <c r="AA5696" s="609"/>
    </row>
    <row r="5697" spans="1:27" ht="18.75" thickBot="1">
      <c r="A5697" s="2714"/>
      <c r="B5697" s="371"/>
      <c r="C5697" s="371"/>
      <c r="D5697" s="2716">
        <f t="shared" si="612"/>
        <v>1</v>
      </c>
      <c r="E5697" s="2721" t="s">
        <v>3032</v>
      </c>
      <c r="F5697" s="294"/>
      <c r="G5697" s="374" t="s">
        <v>2752</v>
      </c>
      <c r="H5697" s="375">
        <f>SUMPRODUCT($E5691:$E5696,H5691:H5696)</f>
        <v>0</v>
      </c>
      <c r="I5697" s="567"/>
      <c r="J5697" s="567"/>
      <c r="K5697" s="550"/>
      <c r="L5697" s="301"/>
      <c r="M5697" s="301"/>
      <c r="N5697" s="291"/>
      <c r="O5697" s="291"/>
      <c r="P5697" s="291"/>
      <c r="S5697" s="364"/>
      <c r="Z5697" s="609" t="s">
        <v>2066</v>
      </c>
      <c r="AA5697" s="609"/>
    </row>
    <row r="5698" spans="1:27" ht="18">
      <c r="A5698" s="2714"/>
      <c r="B5698" s="371"/>
      <c r="C5698" s="371" t="s">
        <v>2755</v>
      </c>
      <c r="D5698" s="371"/>
      <c r="F5698" s="294"/>
      <c r="G5698" s="301"/>
      <c r="H5698" s="315"/>
      <c r="I5698" s="393"/>
      <c r="J5698" s="393"/>
      <c r="K5698" s="393"/>
      <c r="L5698" s="301"/>
      <c r="M5698" s="301"/>
      <c r="N5698" s="291"/>
      <c r="O5698" s="291"/>
      <c r="P5698" s="291"/>
      <c r="S5698" s="364"/>
      <c r="Z5698" s="609" t="s">
        <v>2066</v>
      </c>
      <c r="AA5698" s="609"/>
    </row>
    <row r="5699" spans="1:27" ht="24">
      <c r="A5699" s="2714" t="s">
        <v>2081</v>
      </c>
      <c r="B5699" s="371">
        <v>5.42</v>
      </c>
      <c r="C5699" s="371"/>
      <c r="D5699" s="2716" t="str">
        <f>VLOOKUP($A5699,Sheet_NoteList,2,0)</f>
        <v>关联担保情况——作为被担保方</v>
      </c>
      <c r="E5699" s="2716" t="s">
        <v>2742</v>
      </c>
      <c r="F5699" s="294"/>
      <c r="G5699" s="483" t="str">
        <f>"("&amp;B5699&amp;")"&amp;D5699</f>
        <v>(5.42)关联担保情况——作为被担保方</v>
      </c>
      <c r="H5699" s="1517" t="str">
        <f>$A5699</f>
        <v>9120h</v>
      </c>
      <c r="I5699" s="343" t="s">
        <v>2743</v>
      </c>
      <c r="J5699" s="301"/>
      <c r="K5699" s="3081"/>
      <c r="L5699" s="315"/>
      <c r="M5699" s="301"/>
      <c r="N5699" s="3081"/>
      <c r="O5699" s="315"/>
      <c r="P5699" s="301"/>
      <c r="S5699" s="364"/>
      <c r="Z5699" s="609" t="s">
        <v>2066</v>
      </c>
      <c r="AA5699" s="609"/>
    </row>
    <row r="5700" spans="1:27" ht="0.75" customHeight="1" thickBot="1">
      <c r="A5700" s="2714"/>
      <c r="B5700" s="371"/>
      <c r="C5700" s="371"/>
      <c r="D5700" s="371"/>
      <c r="E5700" s="586"/>
      <c r="F5700" s="586"/>
      <c r="G5700" s="586" t="s">
        <v>4468</v>
      </c>
      <c r="H5700" s="371" t="s">
        <v>4459</v>
      </c>
      <c r="I5700" s="371" t="s">
        <v>4460</v>
      </c>
      <c r="J5700" s="371" t="s">
        <v>4461</v>
      </c>
      <c r="K5700" s="371" t="s">
        <v>4462</v>
      </c>
      <c r="L5700" s="301"/>
      <c r="M5700" s="301"/>
      <c r="N5700" s="291"/>
      <c r="O5700" s="291"/>
      <c r="P5700" s="291"/>
      <c r="S5700" s="364"/>
      <c r="Z5700" s="609" t="s">
        <v>2066</v>
      </c>
      <c r="AA5700" s="609"/>
    </row>
    <row r="5701" spans="1:27" ht="24">
      <c r="A5701" s="2714"/>
      <c r="B5701" s="371"/>
      <c r="C5701" s="371"/>
      <c r="D5701" s="371"/>
      <c r="E5701" s="586" t="s">
        <v>2749</v>
      </c>
      <c r="F5701" s="363"/>
      <c r="G5701" s="2457" t="s">
        <v>4469</v>
      </c>
      <c r="H5701" s="2464" t="s">
        <v>4464</v>
      </c>
      <c r="I5701" s="2464" t="s">
        <v>4465</v>
      </c>
      <c r="J5701" s="2464" t="s">
        <v>4466</v>
      </c>
      <c r="K5701" s="2469" t="s">
        <v>4467</v>
      </c>
      <c r="L5701" s="355" t="s">
        <v>5350</v>
      </c>
      <c r="M5701" s="301"/>
      <c r="N5701" s="291"/>
      <c r="O5701" s="291"/>
      <c r="P5701" s="291"/>
      <c r="S5701" s="364"/>
      <c r="Z5701" s="609" t="s">
        <v>2066</v>
      </c>
      <c r="AA5701" s="609"/>
    </row>
    <row r="5702" spans="1:27" ht="18">
      <c r="A5702" s="2714"/>
      <c r="B5702" s="371">
        <v>101</v>
      </c>
      <c r="C5702" s="371" t="s">
        <v>2791</v>
      </c>
      <c r="D5702" s="2716">
        <f t="shared" ref="D5702:D5707" si="613">IF(OR(G5702="*",G5702="",G5702=0),0,COUNTIF($G$5702:$G$5707,G5702))</f>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102</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103</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
      <c r="A5705" s="2714"/>
      <c r="B5705" s="371">
        <v>104</v>
      </c>
      <c r="C5705" s="371" t="s">
        <v>2791</v>
      </c>
      <c r="D5705" s="2716">
        <f t="shared" si="613"/>
        <v>0</v>
      </c>
      <c r="E5705" s="2721">
        <v>1</v>
      </c>
      <c r="F5705" s="294"/>
      <c r="G5705" s="2467" t="s">
        <v>2792</v>
      </c>
      <c r="H5705" s="2275"/>
      <c r="I5705" s="2298"/>
      <c r="J5705" s="2298"/>
      <c r="K5705" s="2276"/>
      <c r="L5705" s="301"/>
      <c r="M5705" s="301"/>
      <c r="N5705" s="291"/>
      <c r="O5705" s="291"/>
      <c r="P5705" s="291"/>
      <c r="S5705" s="364"/>
      <c r="Z5705" s="609" t="s">
        <v>2066</v>
      </c>
      <c r="AA5705" s="609"/>
    </row>
    <row r="5706" spans="1:27" ht="18">
      <c r="A5706" s="2714"/>
      <c r="B5706" s="371">
        <v>105</v>
      </c>
      <c r="C5706" s="371" t="s">
        <v>2791</v>
      </c>
      <c r="D5706" s="2716">
        <f t="shared" si="613"/>
        <v>0</v>
      </c>
      <c r="E5706" s="2721">
        <v>1</v>
      </c>
      <c r="F5706" s="294"/>
      <c r="G5706" s="2467" t="s">
        <v>2792</v>
      </c>
      <c r="H5706" s="2275"/>
      <c r="I5706" s="2298"/>
      <c r="J5706" s="2298"/>
      <c r="K5706" s="2276"/>
      <c r="L5706" s="301"/>
      <c r="M5706" s="301"/>
      <c r="N5706" s="291"/>
      <c r="O5706" s="291"/>
      <c r="P5706" s="291"/>
      <c r="S5706" s="364"/>
      <c r="Z5706" s="609" t="s">
        <v>2066</v>
      </c>
      <c r="AA5706" s="609"/>
    </row>
    <row r="5707" spans="1:27" ht="18.75" thickBot="1">
      <c r="A5707" s="2714"/>
      <c r="B5707" s="371"/>
      <c r="C5707" s="371"/>
      <c r="D5707" s="2716">
        <f t="shared" si="613"/>
        <v>1</v>
      </c>
      <c r="E5707" s="2721" t="s">
        <v>3032</v>
      </c>
      <c r="F5707" s="294"/>
      <c r="G5707" s="374" t="s">
        <v>2752</v>
      </c>
      <c r="H5707" s="1478">
        <f>SUMPRODUCT($E5701:$E5706,H5701:H5706)</f>
        <v>0</v>
      </c>
      <c r="I5707" s="2261"/>
      <c r="J5707" s="2261"/>
      <c r="K5707" s="2260"/>
      <c r="L5707" s="301"/>
      <c r="M5707" s="301"/>
      <c r="N5707" s="291"/>
      <c r="O5707" s="291"/>
      <c r="P5707" s="291"/>
      <c r="S5707" s="364"/>
      <c r="Z5707" s="609" t="s">
        <v>2066</v>
      </c>
      <c r="AA5707" s="609"/>
    </row>
    <row r="5708" spans="1:27" ht="18">
      <c r="A5708" s="2714"/>
      <c r="B5708" s="371"/>
      <c r="C5708" s="371" t="s">
        <v>2755</v>
      </c>
      <c r="D5708" s="371"/>
      <c r="F5708" s="294"/>
      <c r="G5708" s="301"/>
      <c r="H5708" s="315"/>
      <c r="I5708" s="393"/>
      <c r="J5708" s="393"/>
      <c r="K5708" s="393"/>
      <c r="L5708" s="301"/>
      <c r="M5708" s="301"/>
      <c r="N5708" s="291"/>
      <c r="O5708" s="291"/>
      <c r="P5708" s="291"/>
      <c r="S5708" s="364"/>
      <c r="Z5708" s="609" t="s">
        <v>2066</v>
      </c>
      <c r="AA5708" s="609"/>
    </row>
    <row r="5709" spans="1:27" ht="24">
      <c r="A5709" s="2714" t="s">
        <v>2083</v>
      </c>
      <c r="B5709" s="371">
        <v>5.51</v>
      </c>
      <c r="C5709" s="371"/>
      <c r="D5709" s="2716" t="str">
        <f>VLOOKUP($A5709,Sheet_NoteList,2,0)</f>
        <v>关联方资金拆借情况——拆入</v>
      </c>
      <c r="E5709" s="2716" t="s">
        <v>2742</v>
      </c>
      <c r="F5709" s="294"/>
      <c r="G5709" s="483" t="str">
        <f>"("&amp;B5709&amp;")"&amp;D5709</f>
        <v>(5.51)关联方资金拆借情况——拆入</v>
      </c>
      <c r="H5709" s="1517" t="str">
        <f>$A5709</f>
        <v>9120i</v>
      </c>
      <c r="I5709" s="343" t="s">
        <v>2743</v>
      </c>
      <c r="J5709" s="301"/>
      <c r="K5709" s="3081"/>
      <c r="L5709" s="315"/>
      <c r="M5709" s="301"/>
      <c r="N5709" s="3081"/>
      <c r="O5709" s="315"/>
      <c r="P5709" s="301"/>
      <c r="S5709" s="364"/>
      <c r="Z5709" s="609" t="s">
        <v>2066</v>
      </c>
      <c r="AA5709" s="609"/>
    </row>
    <row r="5710" spans="1:27" ht="0.75" customHeight="1" thickBot="1">
      <c r="A5710" s="2714"/>
      <c r="B5710" s="371"/>
      <c r="C5710" s="371"/>
      <c r="D5710" s="371"/>
      <c r="F5710" s="371"/>
      <c r="G5710" s="371" t="s">
        <v>4470</v>
      </c>
      <c r="H5710" s="371" t="s">
        <v>4471</v>
      </c>
      <c r="I5710" s="371" t="s">
        <v>4460</v>
      </c>
      <c r="J5710" s="371" t="s">
        <v>4461</v>
      </c>
      <c r="K5710" s="371" t="s">
        <v>4472</v>
      </c>
      <c r="L5710" s="301"/>
      <c r="M5710" s="301"/>
      <c r="N5710" s="291"/>
      <c r="O5710" s="291"/>
      <c r="P5710" s="291"/>
      <c r="S5710" s="364"/>
      <c r="Z5710" s="609" t="s">
        <v>2066</v>
      </c>
      <c r="AA5710" s="609"/>
    </row>
    <row r="5711" spans="1:27" ht="18">
      <c r="A5711" s="2714"/>
      <c r="B5711" s="371"/>
      <c r="C5711" s="371"/>
      <c r="D5711" s="371"/>
      <c r="E5711" s="2716" t="s">
        <v>2749</v>
      </c>
      <c r="F5711" s="294"/>
      <c r="G5711" s="410" t="s">
        <v>1423</v>
      </c>
      <c r="H5711" s="506" t="s">
        <v>4473</v>
      </c>
      <c r="I5711" s="412" t="s">
        <v>4474</v>
      </c>
      <c r="J5711" s="506" t="s">
        <v>3322</v>
      </c>
      <c r="K5711" s="507" t="s">
        <v>2758</v>
      </c>
      <c r="L5711" s="355" t="s">
        <v>5350</v>
      </c>
      <c r="M5711" s="301"/>
      <c r="N5711" s="291"/>
      <c r="O5711" s="291"/>
      <c r="P5711" s="291"/>
      <c r="S5711" s="364"/>
      <c r="Z5711" s="609" t="s">
        <v>2066</v>
      </c>
      <c r="AA5711" s="609"/>
    </row>
    <row r="5712" spans="1:27" ht="18">
      <c r="A5712" s="2714"/>
      <c r="B5712" s="371">
        <v>101</v>
      </c>
      <c r="C5712" s="371" t="s">
        <v>2791</v>
      </c>
      <c r="D5712" s="2716">
        <f t="shared" ref="D5712:D5717" si="614">IF(OR(G5712="*",G5712="",G5712=0),0,COUNTIF($G$5712:$G$5717,G5712))</f>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102</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103</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
      <c r="A5715" s="2714"/>
      <c r="B5715" s="371">
        <v>104</v>
      </c>
      <c r="C5715" s="371" t="s">
        <v>2791</v>
      </c>
      <c r="D5715" s="2716">
        <f t="shared" si="614"/>
        <v>0</v>
      </c>
      <c r="E5715" s="2721">
        <v>1</v>
      </c>
      <c r="F5715" s="294"/>
      <c r="G5715" s="319" t="s">
        <v>2792</v>
      </c>
      <c r="H5715" s="309"/>
      <c r="I5715" s="360"/>
      <c r="J5715" s="360"/>
      <c r="K5715" s="388"/>
      <c r="L5715" s="301"/>
      <c r="M5715" s="301"/>
      <c r="N5715" s="291"/>
      <c r="O5715" s="291"/>
      <c r="P5715" s="291"/>
      <c r="S5715" s="364"/>
      <c r="Z5715" s="609" t="s">
        <v>2066</v>
      </c>
      <c r="AA5715" s="609"/>
    </row>
    <row r="5716" spans="1:27" ht="18">
      <c r="A5716" s="2714"/>
      <c r="B5716" s="371">
        <v>105</v>
      </c>
      <c r="C5716" s="371" t="s">
        <v>2791</v>
      </c>
      <c r="D5716" s="2716">
        <f t="shared" si="614"/>
        <v>0</v>
      </c>
      <c r="E5716" s="2721">
        <v>1</v>
      </c>
      <c r="F5716" s="294"/>
      <c r="G5716" s="319" t="s">
        <v>2792</v>
      </c>
      <c r="H5716" s="309"/>
      <c r="I5716" s="360"/>
      <c r="J5716" s="360"/>
      <c r="K5716" s="388"/>
      <c r="L5716" s="301"/>
      <c r="M5716" s="301"/>
      <c r="N5716" s="291"/>
      <c r="O5716" s="291"/>
      <c r="P5716" s="291"/>
      <c r="S5716" s="364"/>
      <c r="Z5716" s="609" t="s">
        <v>2066</v>
      </c>
      <c r="AA5716" s="609"/>
    </row>
    <row r="5717" spans="1:27" ht="18.75" thickBot="1">
      <c r="A5717" s="2714"/>
      <c r="B5717" s="371"/>
      <c r="C5717" s="371"/>
      <c r="D5717" s="2716">
        <f t="shared" si="614"/>
        <v>1</v>
      </c>
      <c r="E5717" s="2721" t="s">
        <v>3032</v>
      </c>
      <c r="F5717" s="294"/>
      <c r="G5717" s="374" t="s">
        <v>2752</v>
      </c>
      <c r="H5717" s="375">
        <f>SUMPRODUCT($E5711:$E5716,H5711:H5716)</f>
        <v>0</v>
      </c>
      <c r="I5717" s="567"/>
      <c r="J5717" s="567"/>
      <c r="K5717" s="550"/>
      <c r="L5717" s="301"/>
      <c r="M5717" s="301"/>
      <c r="N5717" s="291"/>
      <c r="O5717" s="291"/>
      <c r="P5717" s="291"/>
      <c r="S5717" s="364"/>
      <c r="Z5717" s="609" t="s">
        <v>2066</v>
      </c>
      <c r="AA5717" s="609"/>
    </row>
    <row r="5718" spans="1:27" ht="18">
      <c r="A5718" s="2714"/>
      <c r="B5718" s="371"/>
      <c r="C5718" s="371" t="s">
        <v>2755</v>
      </c>
      <c r="D5718" s="371"/>
      <c r="F5718" s="294"/>
      <c r="G5718" s="301"/>
      <c r="H5718" s="315"/>
      <c r="I5718" s="393"/>
      <c r="J5718" s="393"/>
      <c r="K5718" s="393"/>
      <c r="L5718" s="301"/>
      <c r="M5718" s="301"/>
      <c r="N5718" s="291"/>
      <c r="O5718" s="291"/>
      <c r="P5718" s="291"/>
      <c r="S5718" s="364"/>
      <c r="Z5718" s="609" t="s">
        <v>2066</v>
      </c>
      <c r="AA5718" s="609"/>
    </row>
    <row r="5719" spans="1:27" ht="24">
      <c r="A5719" s="2714" t="s">
        <v>2085</v>
      </c>
      <c r="B5719" s="371">
        <v>5.52</v>
      </c>
      <c r="C5719" s="371"/>
      <c r="D5719" s="2716" t="str">
        <f>VLOOKUP($A5719,Sheet_NoteList,2,0)</f>
        <v>关联方资金拆借情况——拆出</v>
      </c>
      <c r="E5719" s="2716" t="s">
        <v>2742</v>
      </c>
      <c r="F5719" s="294"/>
      <c r="G5719" s="483" t="str">
        <f>"("&amp;B5719&amp;")"&amp;D5719</f>
        <v>(5.52)关联方资金拆借情况——拆出</v>
      </c>
      <c r="H5719" s="1517" t="str">
        <f>$A5719</f>
        <v>9120j</v>
      </c>
      <c r="I5719" s="343" t="s">
        <v>2743</v>
      </c>
      <c r="J5719" s="301"/>
      <c r="K5719" s="3081"/>
      <c r="L5719" s="315"/>
      <c r="M5719" s="301"/>
      <c r="N5719" s="3081"/>
      <c r="O5719" s="315"/>
      <c r="P5719" s="301"/>
      <c r="S5719" s="364"/>
      <c r="Z5719" s="609" t="s">
        <v>2066</v>
      </c>
      <c r="AA5719" s="609"/>
    </row>
    <row r="5720" spans="1:27" ht="0.75" customHeight="1" thickBot="1">
      <c r="A5720" s="2714"/>
      <c r="B5720" s="371"/>
      <c r="C5720" s="371"/>
      <c r="D5720" s="371"/>
      <c r="E5720" s="586"/>
      <c r="F5720" s="586"/>
      <c r="G5720" s="586" t="s">
        <v>4475</v>
      </c>
      <c r="H5720" s="371" t="s">
        <v>4471</v>
      </c>
      <c r="I5720" s="371" t="s">
        <v>4460</v>
      </c>
      <c r="J5720" s="371" t="s">
        <v>4461</v>
      </c>
      <c r="K5720" s="371" t="s">
        <v>4472</v>
      </c>
      <c r="L5720" s="301"/>
      <c r="M5720" s="301"/>
      <c r="N5720" s="291"/>
      <c r="O5720" s="291"/>
      <c r="P5720" s="291"/>
      <c r="S5720" s="364"/>
      <c r="Z5720" s="609" t="s">
        <v>2066</v>
      </c>
      <c r="AA5720" s="609"/>
    </row>
    <row r="5721" spans="1:27" ht="18">
      <c r="A5721" s="2714"/>
      <c r="B5721" s="371"/>
      <c r="C5721" s="371"/>
      <c r="D5721" s="371"/>
      <c r="E5721" s="586" t="s">
        <v>2749</v>
      </c>
      <c r="F5721" s="363"/>
      <c r="G5721" s="2457" t="s">
        <v>1423</v>
      </c>
      <c r="H5721" s="2464" t="s">
        <v>4473</v>
      </c>
      <c r="I5721" s="2464" t="s">
        <v>4474</v>
      </c>
      <c r="J5721" s="2464" t="s">
        <v>3322</v>
      </c>
      <c r="K5721" s="2469" t="s">
        <v>2758</v>
      </c>
      <c r="L5721" s="355" t="s">
        <v>5350</v>
      </c>
      <c r="M5721" s="301"/>
      <c r="N5721" s="291"/>
      <c r="O5721" s="291"/>
      <c r="P5721" s="291"/>
      <c r="S5721" s="364"/>
      <c r="Z5721" s="609" t="s">
        <v>2066</v>
      </c>
      <c r="AA5721" s="609"/>
    </row>
    <row r="5722" spans="1:27" ht="18">
      <c r="A5722" s="2714"/>
      <c r="B5722" s="371">
        <v>101</v>
      </c>
      <c r="C5722" s="371" t="s">
        <v>2791</v>
      </c>
      <c r="D5722" s="2716">
        <f t="shared" ref="D5722:D5727" si="615">IF(OR(G5722="*",G5722="",G5722=0),0,COUNTIF($G$5722:$G$5727,G5722))</f>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102</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103</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
      <c r="A5725" s="2714"/>
      <c r="B5725" s="371">
        <v>104</v>
      </c>
      <c r="C5725" s="371" t="s">
        <v>2791</v>
      </c>
      <c r="D5725" s="2716">
        <f t="shared" si="615"/>
        <v>0</v>
      </c>
      <c r="E5725" s="2721">
        <v>1</v>
      </c>
      <c r="F5725" s="294"/>
      <c r="G5725" s="2467" t="s">
        <v>2792</v>
      </c>
      <c r="H5725" s="2275"/>
      <c r="I5725" s="2298"/>
      <c r="J5725" s="2298"/>
      <c r="K5725" s="2276"/>
      <c r="L5725" s="301"/>
      <c r="M5725" s="301"/>
      <c r="N5725" s="291"/>
      <c r="O5725" s="291"/>
      <c r="P5725" s="291"/>
      <c r="S5725" s="364"/>
      <c r="Z5725" s="609" t="s">
        <v>2066</v>
      </c>
      <c r="AA5725" s="609"/>
    </row>
    <row r="5726" spans="1:27" ht="18">
      <c r="A5726" s="2714"/>
      <c r="B5726" s="371">
        <v>105</v>
      </c>
      <c r="C5726" s="371" t="s">
        <v>2791</v>
      </c>
      <c r="D5726" s="2716">
        <f t="shared" si="615"/>
        <v>0</v>
      </c>
      <c r="E5726" s="2721">
        <v>1</v>
      </c>
      <c r="F5726" s="294"/>
      <c r="G5726" s="2467" t="s">
        <v>2792</v>
      </c>
      <c r="H5726" s="2275"/>
      <c r="I5726" s="2298"/>
      <c r="J5726" s="2298"/>
      <c r="K5726" s="2276"/>
      <c r="L5726" s="301"/>
      <c r="M5726" s="301"/>
      <c r="N5726" s="291"/>
      <c r="O5726" s="291"/>
      <c r="P5726" s="291"/>
      <c r="S5726" s="364"/>
      <c r="Z5726" s="609" t="s">
        <v>2066</v>
      </c>
      <c r="AA5726" s="609"/>
    </row>
    <row r="5727" spans="1:27" ht="18.75" thickBot="1">
      <c r="A5727" s="2714"/>
      <c r="B5727" s="371"/>
      <c r="C5727" s="371"/>
      <c r="D5727" s="2716">
        <f t="shared" si="615"/>
        <v>1</v>
      </c>
      <c r="E5727" s="2721" t="s">
        <v>3032</v>
      </c>
      <c r="F5727" s="294"/>
      <c r="G5727" s="374" t="s">
        <v>2752</v>
      </c>
      <c r="H5727" s="1478">
        <f>SUMPRODUCT($E5721:$E5726,H5721:H5726)</f>
        <v>0</v>
      </c>
      <c r="I5727" s="2261"/>
      <c r="J5727" s="2261"/>
      <c r="K5727" s="2260"/>
      <c r="L5727" s="301"/>
      <c r="M5727" s="301"/>
      <c r="N5727" s="291"/>
      <c r="O5727" s="291"/>
      <c r="P5727" s="291"/>
      <c r="S5727" s="364"/>
      <c r="Z5727" s="609" t="s">
        <v>2066</v>
      </c>
      <c r="AA5727" s="609"/>
    </row>
    <row r="5728" spans="1:27" ht="18">
      <c r="A5728" s="2714"/>
      <c r="B5728" s="371"/>
      <c r="C5728" s="371" t="s">
        <v>2755</v>
      </c>
      <c r="D5728" s="371"/>
      <c r="F5728" s="294"/>
      <c r="G5728" s="301"/>
      <c r="H5728" s="315"/>
      <c r="I5728" s="393"/>
      <c r="J5728" s="393"/>
      <c r="K5728" s="393"/>
      <c r="L5728" s="301"/>
      <c r="M5728" s="301"/>
      <c r="N5728" s="291"/>
      <c r="O5728" s="291"/>
      <c r="P5728" s="291"/>
      <c r="S5728" s="364"/>
      <c r="Z5728" s="609" t="s">
        <v>2066</v>
      </c>
      <c r="AA5728" s="609"/>
    </row>
    <row r="5729" spans="1:27" ht="24">
      <c r="A5729" s="2714" t="s">
        <v>2088</v>
      </c>
      <c r="B5729" s="371">
        <v>5.6</v>
      </c>
      <c r="C5729" s="371"/>
      <c r="D5729" s="2716" t="str">
        <f>VLOOKUP($A5729,Sheet_NoteList,2,0)</f>
        <v>关联方资产转让、债务重组情况</v>
      </c>
      <c r="E5729" s="2716" t="s">
        <v>2742</v>
      </c>
      <c r="F5729" s="294"/>
      <c r="G5729" s="483" t="str">
        <f>"("&amp;B5729&amp;")"&amp;D5729</f>
        <v>(5.6)关联方资产转让、债务重组情况</v>
      </c>
      <c r="H5729" s="1517" t="str">
        <f>$A5729</f>
        <v>9120k</v>
      </c>
      <c r="I5729" s="343" t="s">
        <v>2743</v>
      </c>
      <c r="J5729" s="301"/>
      <c r="K5729" s="3081"/>
      <c r="L5729" s="315"/>
      <c r="M5729" s="301"/>
      <c r="N5729" s="3081"/>
      <c r="O5729" s="315"/>
      <c r="P5729" s="301"/>
      <c r="S5729" s="364"/>
      <c r="Z5729" s="609" t="s">
        <v>2066</v>
      </c>
      <c r="AA5729" s="609"/>
    </row>
    <row r="5730" spans="1:27" ht="0.75" customHeight="1" thickBot="1">
      <c r="A5730" s="2714"/>
      <c r="B5730" s="371"/>
      <c r="C5730" s="371"/>
      <c r="D5730" s="371"/>
      <c r="F5730" s="371"/>
      <c r="G5730" s="371" t="s">
        <v>4476</v>
      </c>
      <c r="H5730" s="371" t="s">
        <v>4477</v>
      </c>
      <c r="I5730" s="371" t="s">
        <v>4478</v>
      </c>
      <c r="J5730" s="371" t="s">
        <v>4479</v>
      </c>
      <c r="K5730" s="301"/>
      <c r="L5730" s="301"/>
      <c r="M5730" s="301"/>
      <c r="N5730" s="291"/>
      <c r="O5730" s="291"/>
      <c r="P5730" s="291"/>
      <c r="S5730" s="364"/>
      <c r="Z5730" s="609" t="s">
        <v>2066</v>
      </c>
      <c r="AA5730" s="609"/>
    </row>
    <row r="5731" spans="1:27" ht="18">
      <c r="A5731" s="2714"/>
      <c r="B5731" s="371"/>
      <c r="C5731" s="371"/>
      <c r="D5731" s="371"/>
      <c r="E5731" s="2716" t="s">
        <v>2749</v>
      </c>
      <c r="F5731" s="294"/>
      <c r="G5731" s="410" t="s">
        <v>1423</v>
      </c>
      <c r="H5731" s="506" t="s">
        <v>4437</v>
      </c>
      <c r="I5731" s="501" t="str">
        <f>$W$4&amp;"发生额"</f>
        <v>2019年度发生额</v>
      </c>
      <c r="J5731" s="593" t="str">
        <f>$W$5&amp;"发生额"</f>
        <v>2018年度发生额</v>
      </c>
      <c r="K5731" s="355" t="s">
        <v>5350</v>
      </c>
      <c r="L5731" s="301"/>
      <c r="M5731" s="301"/>
      <c r="N5731" s="291"/>
      <c r="O5731" s="291"/>
      <c r="P5731" s="291"/>
      <c r="S5731" s="364"/>
      <c r="Z5731" s="609" t="s">
        <v>2066</v>
      </c>
      <c r="AA5731" s="609"/>
    </row>
    <row r="5732" spans="1:27" ht="18">
      <c r="A5732" s="2714"/>
      <c r="B5732" s="371">
        <v>101</v>
      </c>
      <c r="C5732" s="371" t="s">
        <v>2791</v>
      </c>
      <c r="D5732" s="2716">
        <f t="shared" ref="D5732:D5737" si="616">IF(OR(G5732="*",G5732="",G5732=0),0,COUNTIF($G$5732:$G$5737,G5732))</f>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102</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103</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
      <c r="A5735" s="2714"/>
      <c r="B5735" s="371">
        <v>104</v>
      </c>
      <c r="C5735" s="371" t="s">
        <v>2791</v>
      </c>
      <c r="D5735" s="2716">
        <f t="shared" si="616"/>
        <v>0</v>
      </c>
      <c r="E5735" s="2721">
        <v>1</v>
      </c>
      <c r="F5735" s="294"/>
      <c r="G5735" s="319" t="s">
        <v>2792</v>
      </c>
      <c r="H5735" s="360"/>
      <c r="I5735" s="309"/>
      <c r="J5735" s="346"/>
      <c r="K5735" s="301"/>
      <c r="L5735" s="301"/>
      <c r="M5735" s="301"/>
      <c r="N5735" s="291"/>
      <c r="O5735" s="291"/>
      <c r="P5735" s="291"/>
      <c r="S5735" s="364"/>
      <c r="Z5735" s="609" t="s">
        <v>2066</v>
      </c>
      <c r="AA5735" s="609"/>
    </row>
    <row r="5736" spans="1:27" ht="18">
      <c r="A5736" s="2714"/>
      <c r="B5736" s="371">
        <v>105</v>
      </c>
      <c r="C5736" s="371" t="s">
        <v>2791</v>
      </c>
      <c r="D5736" s="2716">
        <f t="shared" si="616"/>
        <v>0</v>
      </c>
      <c r="E5736" s="2721">
        <v>1</v>
      </c>
      <c r="F5736" s="294"/>
      <c r="G5736" s="319" t="s">
        <v>2792</v>
      </c>
      <c r="H5736" s="360"/>
      <c r="I5736" s="309"/>
      <c r="J5736" s="346"/>
      <c r="K5736" s="301"/>
      <c r="L5736" s="301"/>
      <c r="M5736" s="301"/>
      <c r="N5736" s="291"/>
      <c r="O5736" s="291"/>
      <c r="P5736" s="291"/>
      <c r="S5736" s="364"/>
      <c r="Z5736" s="609" t="s">
        <v>2066</v>
      </c>
      <c r="AA5736" s="609"/>
    </row>
    <row r="5737" spans="1:27" ht="18.75" thickBot="1">
      <c r="A5737" s="2714"/>
      <c r="B5737" s="371"/>
      <c r="C5737" s="371"/>
      <c r="D5737" s="2716">
        <f t="shared" si="616"/>
        <v>1</v>
      </c>
      <c r="E5737" s="2721" t="s">
        <v>3032</v>
      </c>
      <c r="F5737" s="294"/>
      <c r="G5737" s="374" t="s">
        <v>2752</v>
      </c>
      <c r="H5737" s="581"/>
      <c r="I5737" s="375">
        <f>SUMPRODUCT($E5731:$E5736,I5731:I5736)</f>
        <v>0</v>
      </c>
      <c r="J5737" s="395">
        <f>SUMPRODUCT($E5731:$E5736,J5731:J5736)</f>
        <v>0</v>
      </c>
      <c r="K5737" s="301"/>
      <c r="L5737" s="301"/>
      <c r="M5737" s="301"/>
      <c r="N5737" s="291"/>
      <c r="O5737" s="291"/>
      <c r="P5737" s="291"/>
      <c r="S5737" s="364"/>
      <c r="Z5737" s="609" t="s">
        <v>2066</v>
      </c>
      <c r="AA5737" s="609"/>
    </row>
    <row r="5738" spans="1:27" ht="18">
      <c r="A5738" s="2714"/>
      <c r="B5738" s="371"/>
      <c r="C5738" s="371" t="s">
        <v>2755</v>
      </c>
      <c r="D5738" s="371"/>
      <c r="F5738" s="294"/>
      <c r="G5738" s="301"/>
      <c r="H5738" s="393"/>
      <c r="I5738" s="315"/>
      <c r="J5738" s="315"/>
      <c r="K5738" s="301"/>
      <c r="L5738" s="301"/>
      <c r="M5738" s="301"/>
      <c r="N5738" s="291"/>
      <c r="O5738" s="291"/>
      <c r="P5738" s="291"/>
      <c r="S5738" s="364"/>
      <c r="Z5738" s="609" t="s">
        <v>2066</v>
      </c>
      <c r="AA5738" s="609"/>
    </row>
    <row r="5739" spans="1:27" ht="24">
      <c r="A5739" s="2714" t="s">
        <v>2091</v>
      </c>
      <c r="B5739" s="371">
        <v>5.7</v>
      </c>
      <c r="C5739" s="371"/>
      <c r="D5739" s="2716" t="str">
        <f>VLOOKUP($A5739,Sheet_NoteList,2,0)</f>
        <v>关键管理人员报酬情况</v>
      </c>
      <c r="E5739" s="2716" t="s">
        <v>2742</v>
      </c>
      <c r="F5739" s="294"/>
      <c r="G5739" s="483" t="str">
        <f>"("&amp;B5739&amp;")"&amp;D5739</f>
        <v>(5.7)关键管理人员报酬情况</v>
      </c>
      <c r="H5739" s="1517" t="str">
        <f>$A5739</f>
        <v>9120l</v>
      </c>
      <c r="I5739" s="343" t="s">
        <v>2743</v>
      </c>
      <c r="J5739" s="301"/>
      <c r="K5739" s="3081"/>
      <c r="L5739" s="315"/>
      <c r="M5739" s="301"/>
      <c r="N5739" s="3081"/>
      <c r="O5739" s="315"/>
      <c r="P5739" s="301"/>
      <c r="S5739" s="364"/>
      <c r="Z5739" s="609" t="s">
        <v>2066</v>
      </c>
      <c r="AA5739" s="609"/>
    </row>
    <row r="5740" spans="1:27" ht="0.75" customHeight="1" thickBot="1">
      <c r="A5740" s="2714"/>
      <c r="B5740" s="371"/>
      <c r="C5740" s="371"/>
      <c r="D5740" s="371"/>
      <c r="F5740" s="371"/>
      <c r="G5740" s="371" t="s">
        <v>4480</v>
      </c>
      <c r="H5740" s="371" t="s">
        <v>4223</v>
      </c>
      <c r="I5740" s="371" t="s">
        <v>4224</v>
      </c>
      <c r="K5740" s="301"/>
      <c r="L5740" s="301"/>
      <c r="M5740" s="301"/>
      <c r="N5740" s="291"/>
      <c r="O5740" s="291"/>
      <c r="P5740" s="291"/>
      <c r="S5740" s="364"/>
      <c r="Z5740" s="609" t="s">
        <v>2066</v>
      </c>
      <c r="AA5740" s="609"/>
    </row>
    <row r="5741" spans="1:27" ht="18">
      <c r="A5741" s="2714"/>
      <c r="B5741" s="371"/>
      <c r="C5741" s="371"/>
      <c r="D5741" s="371"/>
      <c r="E5741" s="2716" t="s">
        <v>2749</v>
      </c>
      <c r="F5741" s="294"/>
      <c r="G5741" s="410" t="s">
        <v>1423</v>
      </c>
      <c r="H5741" s="412" t="str">
        <f>$W$4&amp;"发生额"</f>
        <v>2019年度发生额</v>
      </c>
      <c r="I5741" s="507" t="str">
        <f>$W$5&amp;"发生额"</f>
        <v>2018年度发生额</v>
      </c>
      <c r="J5741" s="355" t="s">
        <v>5350</v>
      </c>
      <c r="K5741" s="301"/>
      <c r="L5741" s="301"/>
      <c r="M5741" s="301"/>
      <c r="N5741" s="291"/>
      <c r="O5741" s="291"/>
      <c r="P5741" s="291"/>
      <c r="S5741" s="364"/>
      <c r="Z5741" s="609" t="s">
        <v>2066</v>
      </c>
      <c r="AA5741" s="609"/>
    </row>
    <row r="5742" spans="1:27" ht="18">
      <c r="A5742" s="2714"/>
      <c r="B5742" s="371">
        <v>101</v>
      </c>
      <c r="C5742" s="371"/>
      <c r="D5742" s="2716">
        <f>IF(OR(G5742="*",G5742="",G5742=0),0,COUNTIF($G$5742:$G$5744,G5742))</f>
        <v>1</v>
      </c>
      <c r="E5742" s="2721">
        <v>1</v>
      </c>
      <c r="F5742" s="294"/>
      <c r="G5742" s="308" t="s">
        <v>4481</v>
      </c>
      <c r="H5742" s="309"/>
      <c r="I5742" s="346"/>
      <c r="K5742" s="301"/>
      <c r="L5742" s="301"/>
      <c r="M5742" s="301"/>
      <c r="N5742" s="291"/>
      <c r="O5742" s="291"/>
      <c r="P5742" s="291"/>
      <c r="S5742" s="364"/>
      <c r="Z5742" s="609" t="s">
        <v>2066</v>
      </c>
      <c r="AA5742" s="609"/>
    </row>
    <row r="5743" spans="1:27" ht="18">
      <c r="A5743" s="2714"/>
      <c r="B5743" s="371">
        <v>102</v>
      </c>
      <c r="C5743" s="371" t="s">
        <v>2791</v>
      </c>
      <c r="D5743" s="2716">
        <f>IF(OR(G5743="*",G5743="",G5743=0),0,COUNTIF($G$5742:$G$5744,G5743))</f>
        <v>0</v>
      </c>
      <c r="E5743" s="2721">
        <v>1</v>
      </c>
      <c r="F5743" s="294"/>
      <c r="G5743" s="319" t="s">
        <v>2792</v>
      </c>
      <c r="H5743" s="309"/>
      <c r="I5743" s="346"/>
      <c r="K5743" s="301"/>
      <c r="L5743" s="301"/>
      <c r="M5743" s="301"/>
      <c r="N5743" s="291"/>
      <c r="O5743" s="291"/>
      <c r="P5743" s="291"/>
      <c r="S5743" s="364"/>
      <c r="Z5743" s="609" t="s">
        <v>2066</v>
      </c>
      <c r="AA5743" s="609"/>
    </row>
    <row r="5744" spans="1:27" ht="18.75" thickBot="1">
      <c r="A5744" s="2714"/>
      <c r="B5744" s="371"/>
      <c r="C5744" s="371"/>
      <c r="D5744" s="2716">
        <f>IF(OR(G5744="*",G5744="",G5744=0),0,COUNTIF($G$5742:$G$5744,G5744))</f>
        <v>1</v>
      </c>
      <c r="E5744" s="2721" t="s">
        <v>3032</v>
      </c>
      <c r="F5744" s="294"/>
      <c r="G5744" s="374" t="s">
        <v>2752</v>
      </c>
      <c r="H5744" s="375">
        <f>SUMPRODUCT($E5741:$E5743,H5741:H5743)</f>
        <v>0</v>
      </c>
      <c r="I5744" s="395">
        <f>SUMPRODUCT($E5741:$E5743,I5741:I5743)</f>
        <v>0</v>
      </c>
      <c r="K5744" s="301"/>
      <c r="L5744" s="301"/>
      <c r="M5744" s="301"/>
      <c r="N5744" s="291"/>
      <c r="O5744" s="291"/>
      <c r="P5744" s="291"/>
      <c r="S5744" s="364"/>
      <c r="Z5744" s="609" t="s">
        <v>2066</v>
      </c>
      <c r="AA5744" s="609"/>
    </row>
    <row r="5745" spans="1:27" ht="18.75" thickBot="1">
      <c r="A5745" s="2714"/>
      <c r="B5745" s="371">
        <v>901</v>
      </c>
      <c r="C5745" s="371"/>
      <c r="D5745" s="2716"/>
      <c r="E5745" s="2716" t="s">
        <v>2753</v>
      </c>
      <c r="F5745" s="294"/>
      <c r="G5745" s="1602" t="s">
        <v>5524</v>
      </c>
      <c r="H5745" s="1600"/>
      <c r="I5745" s="1601"/>
      <c r="J5745" s="315"/>
      <c r="K5745" s="301"/>
      <c r="L5745" s="301"/>
      <c r="M5745" s="301"/>
      <c r="N5745" s="291"/>
      <c r="O5745" s="291"/>
      <c r="P5745" s="291"/>
      <c r="S5745" s="364"/>
      <c r="Z5745" s="609" t="s">
        <v>2066</v>
      </c>
      <c r="AA5745" s="609"/>
    </row>
    <row r="5746" spans="1:27" ht="18">
      <c r="A5746" s="2714"/>
      <c r="B5746" s="371"/>
      <c r="C5746" s="371" t="s">
        <v>2755</v>
      </c>
      <c r="D5746" s="371"/>
      <c r="F5746" s="294"/>
      <c r="G5746" s="301"/>
      <c r="H5746" s="393"/>
      <c r="I5746" s="315"/>
      <c r="J5746" s="315"/>
      <c r="K5746" s="301"/>
      <c r="L5746" s="301"/>
      <c r="M5746" s="301"/>
      <c r="N5746" s="291"/>
      <c r="O5746" s="291"/>
      <c r="P5746" s="291"/>
      <c r="S5746" s="364"/>
      <c r="Z5746" s="609" t="s">
        <v>2066</v>
      </c>
      <c r="AA5746" s="609"/>
    </row>
    <row r="5747" spans="1:27" ht="24">
      <c r="A5747" s="2714" t="s">
        <v>2094</v>
      </c>
      <c r="B5747" s="371">
        <v>6.1</v>
      </c>
      <c r="C5747" s="371"/>
      <c r="D5747" s="2716" t="str">
        <f>VLOOKUP($A5747,Sheet_NoteList,2,0)</f>
        <v>关联方应收应付款项——应收项目</v>
      </c>
      <c r="E5747" s="2716" t="s">
        <v>2742</v>
      </c>
      <c r="F5747" s="293"/>
      <c r="G5747" s="372" t="str">
        <f>"("&amp;B5747&amp;")"&amp;D5747</f>
        <v>(6.1)关联方应收应付款项——应收项目</v>
      </c>
      <c r="H5747" s="1517" t="str">
        <f>$A5747</f>
        <v>9120o</v>
      </c>
      <c r="I5747" s="343" t="s">
        <v>2743</v>
      </c>
      <c r="J5747" s="301" t="s">
        <v>2744</v>
      </c>
      <c r="K5747" s="2210">
        <f>H5760</f>
        <v>0</v>
      </c>
      <c r="L5747" s="349"/>
      <c r="M5747" s="301" t="s">
        <v>2745</v>
      </c>
      <c r="N5747" s="2210">
        <f>I5760</f>
        <v>0</v>
      </c>
      <c r="O5747" s="349"/>
      <c r="P5747" s="301"/>
      <c r="S5747" s="364"/>
      <c r="Z5747" s="609" t="s">
        <v>2066</v>
      </c>
      <c r="AA5747" s="609" t="s">
        <v>19</v>
      </c>
    </row>
    <row r="5748" spans="1:27" ht="0.75" customHeight="1">
      <c r="A5748" s="2714"/>
      <c r="B5748" s="371"/>
      <c r="C5748" s="371"/>
      <c r="D5748" s="2716"/>
      <c r="E5748" s="586"/>
      <c r="F5748" s="586"/>
      <c r="G5748" s="2224" t="s">
        <v>4482</v>
      </c>
      <c r="H5748" s="371" t="s">
        <v>2747</v>
      </c>
      <c r="I5748" s="371" t="s">
        <v>2748</v>
      </c>
      <c r="J5748" s="371" t="s">
        <v>2948</v>
      </c>
      <c r="K5748" s="547" t="s">
        <v>3034</v>
      </c>
      <c r="L5748" s="547" t="s">
        <v>3035</v>
      </c>
      <c r="M5748" s="433"/>
      <c r="N5748" s="428"/>
      <c r="O5748" s="428"/>
      <c r="P5748" s="433"/>
      <c r="Q5748" s="442"/>
      <c r="R5748" s="443"/>
      <c r="S5748" s="364"/>
      <c r="Z5748" s="609" t="s">
        <v>2066</v>
      </c>
      <c r="AA5748" s="609" t="s">
        <v>19</v>
      </c>
    </row>
    <row r="5749" spans="1:27" ht="0.75" customHeight="1" thickBot="1">
      <c r="A5749" s="2714"/>
      <c r="B5749" s="371"/>
      <c r="C5749" s="371"/>
      <c r="D5749" s="2716"/>
      <c r="E5749" s="586"/>
      <c r="F5749" s="586"/>
      <c r="G5749" s="2224"/>
      <c r="H5749" s="371" t="s">
        <v>4483</v>
      </c>
      <c r="I5749" s="371" t="s">
        <v>2855</v>
      </c>
      <c r="J5749" s="371" t="s">
        <v>2856</v>
      </c>
      <c r="K5749" s="547" t="s">
        <v>2858</v>
      </c>
      <c r="L5749" s="547" t="s">
        <v>2859</v>
      </c>
      <c r="M5749" s="433"/>
      <c r="N5749" s="428"/>
      <c r="O5749" s="428"/>
      <c r="P5749" s="433"/>
      <c r="Q5749" s="442"/>
      <c r="R5749" s="443"/>
      <c r="S5749" s="364"/>
      <c r="Z5749" s="609" t="s">
        <v>2066</v>
      </c>
      <c r="AA5749" s="609" t="s">
        <v>19</v>
      </c>
    </row>
    <row r="5750" spans="1:27" ht="18" customHeight="1">
      <c r="A5750" s="2714"/>
      <c r="B5750" s="371"/>
      <c r="C5750" s="371"/>
      <c r="D5750" s="2716"/>
      <c r="E5750" s="586" t="s">
        <v>2749</v>
      </c>
      <c r="F5750" s="414"/>
      <c r="G5750" s="3170" t="s">
        <v>1476</v>
      </c>
      <c r="H5750" s="3202" t="s">
        <v>1423</v>
      </c>
      <c r="I5750" s="3204" t="str">
        <f>$V$2</f>
        <v>2019年12月31日</v>
      </c>
      <c r="J5750" s="3205"/>
      <c r="K5750" s="3199" t="str">
        <f>$V$3</f>
        <v>2018年12月31日</v>
      </c>
      <c r="L5750" s="3200"/>
      <c r="M5750" s="355" t="s">
        <v>5351</v>
      </c>
      <c r="N5750" s="428"/>
      <c r="O5750" s="428"/>
      <c r="P5750" s="433"/>
      <c r="Q5750" s="442"/>
      <c r="R5750" s="443"/>
      <c r="S5750" s="364"/>
      <c r="Z5750" s="609" t="s">
        <v>2066</v>
      </c>
      <c r="AA5750" s="609" t="s">
        <v>19</v>
      </c>
    </row>
    <row r="5751" spans="1:27" ht="18">
      <c r="A5751" s="2714"/>
      <c r="B5751" s="371"/>
      <c r="C5751" s="371"/>
      <c r="D5751" s="2716"/>
      <c r="E5751" s="586" t="s">
        <v>2749</v>
      </c>
      <c r="F5751" s="414"/>
      <c r="G5751" s="3171"/>
      <c r="H5751" s="3203"/>
      <c r="I5751" s="2465" t="s">
        <v>2861</v>
      </c>
      <c r="J5751" s="2465" t="s">
        <v>2862</v>
      </c>
      <c r="K5751" s="419" t="s">
        <v>2861</v>
      </c>
      <c r="L5751" s="2468" t="s">
        <v>2862</v>
      </c>
      <c r="M5751" s="435"/>
      <c r="N5751" s="434"/>
      <c r="O5751" s="434"/>
      <c r="P5751" s="435"/>
      <c r="Q5751" s="442"/>
      <c r="R5751" s="443"/>
      <c r="S5751" s="364"/>
      <c r="Z5751" s="609" t="s">
        <v>2066</v>
      </c>
      <c r="AA5751" s="609" t="s">
        <v>19</v>
      </c>
    </row>
    <row r="5752" spans="1:27" ht="18">
      <c r="A5752" s="2714"/>
      <c r="B5752" s="371">
        <v>101</v>
      </c>
      <c r="C5752" s="371" t="s">
        <v>2791</v>
      </c>
      <c r="D5752" s="2716">
        <f t="shared" ref="D5752:D5760" si="617">IF(OR(G5752="*",G5752="",G5752=0),0,COUNTIF($G$5752:$G$5760,G5752))</f>
        <v>1</v>
      </c>
      <c r="E5752" s="2721">
        <v>1</v>
      </c>
      <c r="F5752" s="293"/>
      <c r="G5752" s="2568" t="s">
        <v>124</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102</v>
      </c>
      <c r="C5753" s="371" t="s">
        <v>2791</v>
      </c>
      <c r="D5753" s="2716">
        <f t="shared" si="617"/>
        <v>1</v>
      </c>
      <c r="E5753" s="2721">
        <v>1</v>
      </c>
      <c r="F5753" s="293"/>
      <c r="G5753" s="2568" t="s">
        <v>109</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103</v>
      </c>
      <c r="C5754" s="371" t="s">
        <v>2791</v>
      </c>
      <c r="D5754" s="2716">
        <f t="shared" si="617"/>
        <v>1</v>
      </c>
      <c r="E5754" s="2721">
        <v>1</v>
      </c>
      <c r="F5754" s="293"/>
      <c r="G5754" s="2568" t="s">
        <v>162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104</v>
      </c>
      <c r="C5755" s="371" t="s">
        <v>2791</v>
      </c>
      <c r="D5755" s="2716">
        <f t="shared" si="617"/>
        <v>1</v>
      </c>
      <c r="E5755" s="2721">
        <v>1</v>
      </c>
      <c r="F5755" s="293"/>
      <c r="G5755" s="2568" t="s">
        <v>201</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105</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106</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
      <c r="A5758" s="2714"/>
      <c r="B5758" s="371">
        <v>107</v>
      </c>
      <c r="C5758" s="371" t="s">
        <v>2791</v>
      </c>
      <c r="D5758" s="2716">
        <f t="shared" si="617"/>
        <v>0</v>
      </c>
      <c r="E5758" s="2721">
        <v>1</v>
      </c>
      <c r="F5758" s="293"/>
      <c r="G5758" s="2467" t="s">
        <v>2792</v>
      </c>
      <c r="H5758" s="2275"/>
      <c r="I5758" s="2275"/>
      <c r="J5758" s="2275"/>
      <c r="K5758" s="2275"/>
      <c r="L5758" s="2296"/>
      <c r="M5758" s="438"/>
      <c r="N5758" s="439"/>
      <c r="O5758" s="437"/>
      <c r="P5758" s="438"/>
      <c r="Q5758" s="442"/>
      <c r="R5758" s="443"/>
      <c r="S5758" s="364"/>
      <c r="Z5758" s="609" t="s">
        <v>2066</v>
      </c>
      <c r="AA5758" s="609" t="s">
        <v>19</v>
      </c>
    </row>
    <row r="5759" spans="1:27" ht="18">
      <c r="A5759" s="2714"/>
      <c r="B5759" s="371">
        <v>108</v>
      </c>
      <c r="C5759" s="371" t="s">
        <v>2791</v>
      </c>
      <c r="D5759" s="2716">
        <f t="shared" si="617"/>
        <v>0</v>
      </c>
      <c r="E5759" s="2721">
        <v>1</v>
      </c>
      <c r="F5759" s="293"/>
      <c r="G5759" s="2467" t="s">
        <v>2792</v>
      </c>
      <c r="H5759" s="2275"/>
      <c r="I5759" s="2275"/>
      <c r="J5759" s="2275"/>
      <c r="K5759" s="2275"/>
      <c r="L5759" s="2296"/>
      <c r="M5759" s="438"/>
      <c r="N5759" s="439"/>
      <c r="O5759" s="437"/>
      <c r="P5759" s="438"/>
      <c r="Q5759" s="442"/>
      <c r="R5759" s="443"/>
      <c r="S5759" s="364"/>
      <c r="Z5759" s="609" t="s">
        <v>2066</v>
      </c>
      <c r="AA5759" s="609" t="s">
        <v>19</v>
      </c>
    </row>
    <row r="5760" spans="1:27" ht="18.75" thickBot="1">
      <c r="A5760" s="2714"/>
      <c r="B5760" s="371"/>
      <c r="C5760" s="371"/>
      <c r="D5760" s="2716">
        <f t="shared" si="617"/>
        <v>1</v>
      </c>
      <c r="E5760" s="2721" t="s">
        <v>2751</v>
      </c>
      <c r="F5760" s="293"/>
      <c r="G5760" s="374" t="s">
        <v>2752</v>
      </c>
      <c r="H5760" s="1478">
        <f>SUMPRODUCT($E5751:$E5759,H5751:H5759)</f>
        <v>0</v>
      </c>
      <c r="I5760" s="1478">
        <f>SUMPRODUCT($E5751:$E5759,I5751:I5759)</f>
        <v>0</v>
      </c>
      <c r="J5760" s="1478">
        <f>SUMPRODUCT($E5751:$E5759,J5751:J5759)</f>
        <v>0</v>
      </c>
      <c r="K5760" s="2377"/>
      <c r="L5760" s="2481"/>
      <c r="M5760" s="440"/>
      <c r="N5760" s="439"/>
      <c r="O5760" s="437"/>
      <c r="P5760" s="440"/>
      <c r="Q5760" s="442"/>
      <c r="R5760" s="443"/>
      <c r="S5760" s="364"/>
      <c r="Z5760" s="609" t="s">
        <v>2066</v>
      </c>
      <c r="AA5760" s="609" t="s">
        <v>19</v>
      </c>
    </row>
    <row r="5761" spans="1:27" ht="18">
      <c r="A5761" s="2714"/>
      <c r="B5761" s="371"/>
      <c r="C5761" s="371" t="s">
        <v>2755</v>
      </c>
      <c r="D5761" s="2716"/>
      <c r="F5761" s="293"/>
      <c r="G5761" s="376"/>
      <c r="H5761" s="315"/>
      <c r="I5761" s="396"/>
      <c r="J5761" s="315"/>
      <c r="K5761" s="423"/>
      <c r="L5761" s="315"/>
      <c r="M5761" s="425"/>
      <c r="N5761" s="426"/>
      <c r="O5761" s="427"/>
      <c r="P5761" s="425"/>
      <c r="Q5761" s="442"/>
      <c r="R5761" s="443"/>
      <c r="S5761" s="364"/>
      <c r="Z5761" s="609" t="s">
        <v>2066</v>
      </c>
      <c r="AA5761" s="609" t="s">
        <v>19</v>
      </c>
    </row>
    <row r="5762" spans="1:27" ht="24">
      <c r="A5762" s="2714" t="s">
        <v>2096</v>
      </c>
      <c r="B5762" s="371">
        <v>6.2</v>
      </c>
      <c r="C5762" s="371"/>
      <c r="D5762" s="2716" t="str">
        <f>VLOOKUP($A5762,Sheet_NoteList,2,0)</f>
        <v>关联方应收应付款项——应付项目</v>
      </c>
      <c r="E5762" s="2716" t="s">
        <v>2742</v>
      </c>
      <c r="F5762" s="293"/>
      <c r="G5762" s="372" t="str">
        <f>"("&amp;B5762&amp;")"&amp;D5762</f>
        <v>(6.2)关联方应收应付款项——应付项目</v>
      </c>
      <c r="H5762" s="1517" t="str">
        <f>$A5762</f>
        <v>9120p</v>
      </c>
      <c r="I5762" s="343" t="s">
        <v>2743</v>
      </c>
      <c r="J5762" s="301" t="s">
        <v>2744</v>
      </c>
      <c r="K5762" s="2210">
        <f>I5773</f>
        <v>0</v>
      </c>
      <c r="L5762" s="349"/>
      <c r="M5762" s="301" t="s">
        <v>2745</v>
      </c>
      <c r="N5762" s="2210">
        <f>J5773</f>
        <v>0</v>
      </c>
      <c r="O5762" s="349"/>
      <c r="P5762" s="301"/>
      <c r="S5762" s="364"/>
      <c r="Z5762" s="609" t="s">
        <v>2066</v>
      </c>
      <c r="AA5762" s="609" t="s">
        <v>19</v>
      </c>
    </row>
    <row r="5763" spans="1:27" ht="0.75" customHeight="1" thickBot="1">
      <c r="A5763" s="2714"/>
      <c r="B5763" s="371"/>
      <c r="C5763" s="371"/>
      <c r="D5763" s="2716"/>
      <c r="E5763" s="586"/>
      <c r="F5763" s="586"/>
      <c r="G5763" s="2224" t="s">
        <v>4484</v>
      </c>
      <c r="H5763" s="371" t="s">
        <v>3067</v>
      </c>
      <c r="I5763" s="371" t="s">
        <v>2748</v>
      </c>
      <c r="J5763" s="371" t="s">
        <v>2948</v>
      </c>
      <c r="K5763" s="428"/>
      <c r="L5763" s="428"/>
      <c r="M5763" s="433"/>
      <c r="N5763" s="428"/>
      <c r="O5763" s="428"/>
      <c r="P5763" s="433"/>
      <c r="Q5763" s="442"/>
      <c r="R5763" s="443"/>
      <c r="S5763" s="364"/>
      <c r="Z5763" s="609" t="s">
        <v>2066</v>
      </c>
      <c r="AA5763" s="609" t="s">
        <v>19</v>
      </c>
    </row>
    <row r="5764" spans="1:27" ht="18">
      <c r="A5764" s="2714"/>
      <c r="B5764" s="371"/>
      <c r="C5764" s="371"/>
      <c r="D5764" s="2716"/>
      <c r="E5764" s="586" t="s">
        <v>2749</v>
      </c>
      <c r="F5764" s="414"/>
      <c r="G5764" s="2457" t="s">
        <v>1476</v>
      </c>
      <c r="H5764" s="2464" t="s">
        <v>1423</v>
      </c>
      <c r="I5764" s="2503" t="str">
        <f>$V$2</f>
        <v>2019年12月31日</v>
      </c>
      <c r="J5764" s="2504" t="str">
        <f>$V$3</f>
        <v>2018年12月31日</v>
      </c>
      <c r="K5764" s="355" t="s">
        <v>5351</v>
      </c>
      <c r="L5764" s="434"/>
      <c r="M5764" s="435"/>
      <c r="N5764" s="434"/>
      <c r="O5764" s="434"/>
      <c r="P5764" s="435"/>
      <c r="Q5764" s="442"/>
      <c r="R5764" s="443"/>
      <c r="S5764" s="364"/>
      <c r="Z5764" s="609" t="s">
        <v>2066</v>
      </c>
      <c r="AA5764" s="609" t="s">
        <v>19</v>
      </c>
    </row>
    <row r="5765" spans="1:27" ht="18">
      <c r="A5765" s="2714"/>
      <c r="B5765" s="371">
        <v>101</v>
      </c>
      <c r="C5765" s="371" t="s">
        <v>2791</v>
      </c>
      <c r="D5765" s="2716">
        <f t="shared" ref="D5765:D5773" si="618">IF(OR(G5765="*",G5765="",G5765=0),0,COUNTIF($G$5765:$G$5773,G5765))</f>
        <v>1</v>
      </c>
      <c r="E5765" s="2721">
        <v>1</v>
      </c>
      <c r="F5765" s="293"/>
      <c r="G5765" s="2568" t="s">
        <v>476</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102</v>
      </c>
      <c r="C5766" s="371" t="s">
        <v>2791</v>
      </c>
      <c r="D5766" s="2716">
        <f t="shared" si="618"/>
        <v>1</v>
      </c>
      <c r="E5766" s="2721">
        <v>1</v>
      </c>
      <c r="F5766" s="293"/>
      <c r="G5766" s="2568" t="s">
        <v>471</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103</v>
      </c>
      <c r="C5767" s="371" t="s">
        <v>2791</v>
      </c>
      <c r="D5767" s="2716">
        <f t="shared" si="618"/>
        <v>1</v>
      </c>
      <c r="E5767" s="2721">
        <v>1</v>
      </c>
      <c r="F5767" s="293"/>
      <c r="G5767" s="2568" t="s">
        <v>484</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104</v>
      </c>
      <c r="C5768" s="371" t="s">
        <v>2791</v>
      </c>
      <c r="D5768" s="2716">
        <f t="shared" si="618"/>
        <v>1</v>
      </c>
      <c r="E5768" s="2721">
        <v>1</v>
      </c>
      <c r="F5768" s="293"/>
      <c r="G5768" s="2568" t="s">
        <v>513</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105</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106</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
      <c r="A5771" s="2714"/>
      <c r="B5771" s="371">
        <v>107</v>
      </c>
      <c r="C5771" s="371" t="s">
        <v>2791</v>
      </c>
      <c r="D5771" s="2716">
        <f t="shared" si="618"/>
        <v>0</v>
      </c>
      <c r="E5771" s="2721">
        <v>1</v>
      </c>
      <c r="F5771" s="293"/>
      <c r="G5771" s="2467" t="s">
        <v>2792</v>
      </c>
      <c r="H5771" s="2298"/>
      <c r="I5771" s="2275"/>
      <c r="J5771" s="2296"/>
      <c r="K5771" s="439"/>
      <c r="L5771" s="437"/>
      <c r="M5771" s="438"/>
      <c r="N5771" s="439"/>
      <c r="O5771" s="437"/>
      <c r="P5771" s="438"/>
      <c r="Q5771" s="442"/>
      <c r="R5771" s="443"/>
      <c r="S5771" s="364"/>
      <c r="Z5771" s="609" t="s">
        <v>2066</v>
      </c>
      <c r="AA5771" s="609" t="s">
        <v>19</v>
      </c>
    </row>
    <row r="5772" spans="1:27" ht="18">
      <c r="A5772" s="2714"/>
      <c r="B5772" s="371">
        <v>108</v>
      </c>
      <c r="C5772" s="371" t="s">
        <v>2791</v>
      </c>
      <c r="D5772" s="2716">
        <f t="shared" si="618"/>
        <v>0</v>
      </c>
      <c r="E5772" s="2721">
        <v>1</v>
      </c>
      <c r="F5772" s="293"/>
      <c r="G5772" s="2467" t="s">
        <v>2792</v>
      </c>
      <c r="H5772" s="2298"/>
      <c r="I5772" s="2275"/>
      <c r="J5772" s="2296"/>
      <c r="K5772" s="439"/>
      <c r="L5772" s="437"/>
      <c r="M5772" s="438"/>
      <c r="N5772" s="439"/>
      <c r="O5772" s="437"/>
      <c r="P5772" s="438"/>
      <c r="Q5772" s="442"/>
      <c r="R5772" s="443"/>
      <c r="S5772" s="364"/>
      <c r="Z5772" s="609" t="s">
        <v>2066</v>
      </c>
      <c r="AA5772" s="609" t="s">
        <v>19</v>
      </c>
    </row>
    <row r="5773" spans="1:27" ht="18.75" thickBot="1">
      <c r="A5773" s="2714"/>
      <c r="B5773" s="371"/>
      <c r="C5773" s="371"/>
      <c r="D5773" s="2716">
        <f t="shared" si="618"/>
        <v>1</v>
      </c>
      <c r="E5773" s="2721" t="s">
        <v>2751</v>
      </c>
      <c r="F5773" s="293"/>
      <c r="G5773" s="374" t="s">
        <v>2752</v>
      </c>
      <c r="H5773" s="2378">
        <f>SUMPRODUCT($E5764:$E5772,H5764:H5772)</f>
        <v>0</v>
      </c>
      <c r="I5773" s="1478">
        <f>SUMPRODUCT($E5764:$E5772,I5764:I5772)</f>
        <v>0</v>
      </c>
      <c r="J5773" s="1479">
        <f>SUMPRODUCT($E5764:$E5772,J5764:J5772)</f>
        <v>0</v>
      </c>
      <c r="K5773" s="439"/>
      <c r="L5773" s="437"/>
      <c r="M5773" s="440"/>
      <c r="N5773" s="439"/>
      <c r="O5773" s="437"/>
      <c r="P5773" s="440"/>
      <c r="Q5773" s="442"/>
      <c r="R5773" s="443"/>
      <c r="S5773" s="364"/>
      <c r="Z5773" s="609" t="s">
        <v>2066</v>
      </c>
      <c r="AA5773" s="609" t="s">
        <v>19</v>
      </c>
    </row>
    <row r="5774" spans="1:27" ht="18">
      <c r="A5774" s="2714"/>
      <c r="B5774" s="371"/>
      <c r="C5774" s="371" t="s">
        <v>2755</v>
      </c>
      <c r="D5774" s="2716"/>
      <c r="F5774" s="293"/>
      <c r="G5774" s="376"/>
      <c r="H5774" s="393"/>
      <c r="I5774" s="396"/>
      <c r="J5774" s="315"/>
      <c r="K5774" s="426"/>
      <c r="L5774" s="427"/>
      <c r="M5774" s="425"/>
      <c r="N5774" s="426"/>
      <c r="O5774" s="427"/>
      <c r="P5774" s="425"/>
      <c r="Q5774" s="442"/>
      <c r="R5774" s="443"/>
      <c r="S5774" s="364"/>
      <c r="Z5774" s="609" t="s">
        <v>2066</v>
      </c>
      <c r="AA5774" s="609" t="s">
        <v>19</v>
      </c>
    </row>
    <row r="5775" spans="1:27" ht="17.25">
      <c r="A5775" s="2715">
        <v>9367</v>
      </c>
      <c r="B5775" s="371" t="s">
        <v>6572</v>
      </c>
      <c r="C5775" s="2716" t="str">
        <f>VLOOKUP($A5775,Sheet_Items,2,0)</f>
        <v>终止经营</v>
      </c>
      <c r="D5775" s="371"/>
      <c r="E5775" s="2716" t="s">
        <v>2739</v>
      </c>
      <c r="F5775" s="371"/>
      <c r="G5775" s="305" t="str">
        <f>B5775&amp;" "&amp;C5775</f>
        <v>十四 5. 终止经营</v>
      </c>
      <c r="H5775" s="306"/>
      <c r="I5775" s="306"/>
      <c r="J5775" s="306"/>
      <c r="K5775" s="341"/>
      <c r="L5775" s="342"/>
      <c r="M5775" s="306"/>
      <c r="N5775" s="341"/>
      <c r="O5775" s="342"/>
      <c r="P5775" s="301"/>
      <c r="S5775" s="364"/>
      <c r="Z5775" s="609" t="s">
        <v>2155</v>
      </c>
      <c r="AA5775" s="609" t="s">
        <v>19</v>
      </c>
    </row>
    <row r="5776" spans="1:27" ht="24">
      <c r="A5776" s="2714" t="s">
        <v>2153</v>
      </c>
      <c r="B5776" s="371">
        <v>1</v>
      </c>
      <c r="C5776" s="371"/>
      <c r="D5776" s="2716" t="str">
        <f>VLOOKUP($A5776,Sheet_NoteList,2,0)</f>
        <v>其他重要事项（终止经营）</v>
      </c>
      <c r="E5776" s="2716" t="s">
        <v>2742</v>
      </c>
      <c r="F5776" s="371"/>
      <c r="G5776" s="372" t="str">
        <f>"("&amp;B5776&amp;")"&amp;D5776</f>
        <v>(1)其他重要事项（终止经营）</v>
      </c>
      <c r="H5776" s="1517" t="str">
        <f>$A5776</f>
        <v>9367a</v>
      </c>
      <c r="I5776" s="343" t="s">
        <v>2743</v>
      </c>
      <c r="J5776" s="301" t="s">
        <v>2744</v>
      </c>
      <c r="K5776" s="391"/>
      <c r="L5776" s="349"/>
      <c r="M5776" s="301" t="s">
        <v>2745</v>
      </c>
      <c r="N5776" s="391"/>
      <c r="O5776" s="349"/>
      <c r="P5776" s="301"/>
      <c r="S5776" s="364"/>
      <c r="Z5776" s="609" t="s">
        <v>2155</v>
      </c>
      <c r="AA5776" s="609" t="s">
        <v>19</v>
      </c>
    </row>
    <row r="5777" spans="1:27" ht="0.75" customHeight="1" thickBot="1">
      <c r="A5777" s="2714"/>
      <c r="B5777" s="371"/>
      <c r="C5777" s="371"/>
      <c r="D5777" s="2716"/>
      <c r="F5777" s="371"/>
      <c r="G5777" s="405" t="s">
        <v>4661</v>
      </c>
      <c r="H5777" s="371" t="s">
        <v>4223</v>
      </c>
      <c r="I5777" s="371" t="s">
        <v>4224</v>
      </c>
      <c r="J5777" s="301"/>
      <c r="K5777" s="391"/>
      <c r="L5777" s="349"/>
      <c r="M5777" s="301"/>
      <c r="N5777" s="391"/>
      <c r="O5777" s="349"/>
      <c r="P5777" s="301"/>
      <c r="S5777" s="364"/>
      <c r="Z5777" s="609" t="s">
        <v>2155</v>
      </c>
      <c r="AA5777" s="609" t="s">
        <v>19</v>
      </c>
    </row>
    <row r="5778" spans="1:27" ht="18">
      <c r="A5778" s="2714"/>
      <c r="B5778" s="371"/>
      <c r="C5778" s="371"/>
      <c r="D5778" s="2716"/>
      <c r="E5778" s="2716" t="s">
        <v>2749</v>
      </c>
      <c r="F5778" s="371"/>
      <c r="G5778" s="2563" t="s">
        <v>47</v>
      </c>
      <c r="H5778" s="2558" t="str">
        <f>$V$4</f>
        <v>2019年度</v>
      </c>
      <c r="I5778" s="2562" t="str">
        <f>$V$5</f>
        <v>2018年度</v>
      </c>
      <c r="J5778" s="355" t="s">
        <v>5352</v>
      </c>
      <c r="K5778" s="391"/>
      <c r="L5778" s="349"/>
      <c r="M5778" s="301"/>
      <c r="N5778" s="391"/>
      <c r="O5778" s="349"/>
      <c r="P5778" s="301"/>
      <c r="S5778" s="364"/>
      <c r="Z5778" s="609" t="s">
        <v>2155</v>
      </c>
      <c r="AA5778" s="609" t="s">
        <v>19</v>
      </c>
    </row>
    <row r="5779" spans="1:27" ht="18">
      <c r="A5779" s="2714"/>
      <c r="B5779" s="371">
        <v>103</v>
      </c>
      <c r="C5779" s="371"/>
      <c r="D5779" s="2716">
        <f t="shared" ref="D5779:D5795" si="619">IF(OR(G5779="*",G5779="",G5779=0),0,COUNTIF($G$5779:$G$5795,G5779))</f>
        <v>1</v>
      </c>
      <c r="E5779" s="2721">
        <v>1</v>
      </c>
      <c r="F5779" s="371"/>
      <c r="G5779" s="308" t="s">
        <v>4662</v>
      </c>
      <c r="H5779" s="309"/>
      <c r="I5779" s="346"/>
      <c r="J5779" s="301"/>
      <c r="K5779" s="391"/>
      <c r="L5779" s="349"/>
      <c r="M5779" s="301"/>
      <c r="N5779" s="391"/>
      <c r="O5779" s="349"/>
      <c r="P5779" s="301"/>
      <c r="S5779" s="364"/>
      <c r="Z5779" s="609" t="s">
        <v>2155</v>
      </c>
      <c r="AA5779" s="609" t="s">
        <v>19</v>
      </c>
    </row>
    <row r="5780" spans="1:27" ht="18">
      <c r="A5780" s="2714"/>
      <c r="B5780" s="371">
        <v>104</v>
      </c>
      <c r="C5780" s="371"/>
      <c r="D5780" s="2716">
        <f t="shared" si="619"/>
        <v>1</v>
      </c>
      <c r="E5780" s="2721">
        <v>1</v>
      </c>
      <c r="F5780" s="371"/>
      <c r="G5780" s="308" t="s">
        <v>4663</v>
      </c>
      <c r="H5780" s="309"/>
      <c r="I5780" s="346"/>
      <c r="J5780" s="301"/>
      <c r="K5780" s="391"/>
      <c r="L5780" s="349"/>
      <c r="M5780" s="301"/>
      <c r="N5780" s="391"/>
      <c r="O5780" s="349"/>
      <c r="P5780" s="301"/>
      <c r="S5780" s="364"/>
      <c r="Z5780" s="609" t="s">
        <v>2155</v>
      </c>
      <c r="AA5780" s="609" t="s">
        <v>19</v>
      </c>
    </row>
    <row r="5781" spans="1:27" ht="18">
      <c r="A5781" s="2714"/>
      <c r="B5781" s="371">
        <v>105</v>
      </c>
      <c r="C5781" s="371"/>
      <c r="D5781" s="2716">
        <f t="shared" si="619"/>
        <v>1</v>
      </c>
      <c r="E5781" s="2721">
        <v>1</v>
      </c>
      <c r="F5781" s="371"/>
      <c r="G5781" s="308" t="s">
        <v>4664</v>
      </c>
      <c r="H5781" s="309"/>
      <c r="I5781" s="346"/>
      <c r="J5781" s="301"/>
      <c r="K5781" s="391"/>
      <c r="L5781" s="349"/>
      <c r="M5781" s="301"/>
      <c r="N5781" s="391"/>
      <c r="O5781" s="349"/>
      <c r="P5781" s="301"/>
      <c r="S5781" s="364"/>
      <c r="Z5781" s="609" t="s">
        <v>2155</v>
      </c>
      <c r="AA5781" s="609" t="s">
        <v>19</v>
      </c>
    </row>
    <row r="5782" spans="1:27" ht="18">
      <c r="A5782" s="2714"/>
      <c r="B5782" s="371">
        <v>106</v>
      </c>
      <c r="C5782" s="371"/>
      <c r="D5782" s="2716">
        <f t="shared" si="619"/>
        <v>1</v>
      </c>
      <c r="E5782" s="2721">
        <v>1</v>
      </c>
      <c r="F5782" s="371"/>
      <c r="G5782" s="308" t="s">
        <v>4665</v>
      </c>
      <c r="H5782" s="309"/>
      <c r="I5782" s="346"/>
      <c r="J5782" s="301"/>
      <c r="K5782" s="391"/>
      <c r="L5782" s="349"/>
      <c r="M5782" s="301"/>
      <c r="N5782" s="391"/>
      <c r="O5782" s="349"/>
      <c r="P5782" s="301"/>
      <c r="S5782" s="364"/>
      <c r="Z5782" s="609" t="s">
        <v>2155</v>
      </c>
      <c r="AA5782" s="609" t="s">
        <v>19</v>
      </c>
    </row>
    <row r="5783" spans="1:27" ht="18">
      <c r="A5783" s="2714"/>
      <c r="B5783" s="371">
        <v>107</v>
      </c>
      <c r="C5783" s="371"/>
      <c r="D5783" s="2716">
        <f t="shared" si="619"/>
        <v>1</v>
      </c>
      <c r="E5783" s="2721">
        <v>1</v>
      </c>
      <c r="F5783" s="371"/>
      <c r="G5783" s="308" t="s">
        <v>4666</v>
      </c>
      <c r="H5783" s="309">
        <f>H5781-H5782</f>
        <v>0</v>
      </c>
      <c r="I5783" s="346">
        <f>I5781-I5782</f>
        <v>0</v>
      </c>
      <c r="J5783" s="301"/>
      <c r="K5783" s="391"/>
      <c r="L5783" s="349"/>
      <c r="M5783" s="301"/>
      <c r="N5783" s="391"/>
      <c r="O5783" s="349"/>
      <c r="P5783" s="301"/>
      <c r="S5783" s="364"/>
      <c r="Z5783" s="609" t="s">
        <v>2155</v>
      </c>
      <c r="AA5783" s="609" t="s">
        <v>19</v>
      </c>
    </row>
    <row r="5784" spans="1:27" ht="18">
      <c r="A5784" s="2714"/>
      <c r="B5784" s="371">
        <v>108</v>
      </c>
      <c r="C5784" s="371"/>
      <c r="D5784" s="2716">
        <f t="shared" si="619"/>
        <v>1</v>
      </c>
      <c r="E5784" s="2721">
        <v>1</v>
      </c>
      <c r="F5784" s="371"/>
      <c r="G5784" s="308" t="s">
        <v>5250</v>
      </c>
      <c r="H5784" s="309"/>
      <c r="I5784" s="346"/>
      <c r="J5784" s="301"/>
      <c r="K5784" s="391"/>
      <c r="L5784" s="349"/>
      <c r="M5784" s="301"/>
      <c r="N5784" s="391"/>
      <c r="O5784" s="349"/>
      <c r="P5784" s="301"/>
      <c r="S5784" s="364"/>
      <c r="Z5784" s="609" t="s">
        <v>2155</v>
      </c>
      <c r="AA5784" s="609" t="s">
        <v>19</v>
      </c>
    </row>
    <row r="5785" spans="1:27" ht="18">
      <c r="A5785" s="2714"/>
      <c r="B5785" s="371">
        <v>109</v>
      </c>
      <c r="C5785" s="371"/>
      <c r="D5785" s="2716">
        <f t="shared" si="619"/>
        <v>1</v>
      </c>
      <c r="E5785" s="2721">
        <v>1</v>
      </c>
      <c r="F5785" s="371"/>
      <c r="G5785" s="308" t="s">
        <v>4667</v>
      </c>
      <c r="H5785" s="309"/>
      <c r="I5785" s="346"/>
      <c r="J5785" s="301"/>
      <c r="K5785" s="391"/>
      <c r="L5785" s="349"/>
      <c r="M5785" s="301"/>
      <c r="N5785" s="391"/>
      <c r="O5785" s="349"/>
      <c r="P5785" s="301"/>
      <c r="S5785" s="364"/>
      <c r="Z5785" s="609" t="s">
        <v>2155</v>
      </c>
      <c r="AA5785" s="609" t="s">
        <v>19</v>
      </c>
    </row>
    <row r="5786" spans="1:27" ht="18">
      <c r="A5786" s="2714"/>
      <c r="B5786" s="371">
        <v>110</v>
      </c>
      <c r="C5786" s="371"/>
      <c r="D5786" s="2716">
        <f t="shared" si="619"/>
        <v>1</v>
      </c>
      <c r="E5786" s="2721">
        <v>1</v>
      </c>
      <c r="F5786" s="371"/>
      <c r="G5786" s="308" t="s">
        <v>4668</v>
      </c>
      <c r="H5786" s="309"/>
      <c r="I5786" s="346"/>
      <c r="J5786" s="301"/>
      <c r="K5786" s="391"/>
      <c r="L5786" s="349"/>
      <c r="M5786" s="301"/>
      <c r="N5786" s="391"/>
      <c r="O5786" s="349"/>
      <c r="P5786" s="301"/>
      <c r="S5786" s="364"/>
      <c r="Z5786" s="609" t="s">
        <v>2155</v>
      </c>
      <c r="AA5786" s="609" t="s">
        <v>19</v>
      </c>
    </row>
    <row r="5787" spans="1:27" ht="18">
      <c r="A5787" s="2714"/>
      <c r="B5787" s="371">
        <v>111</v>
      </c>
      <c r="C5787" s="371"/>
      <c r="D5787" s="2716">
        <f t="shared" si="619"/>
        <v>1</v>
      </c>
      <c r="E5787" s="2721">
        <v>1</v>
      </c>
      <c r="F5787" s="371"/>
      <c r="G5787" s="308" t="s">
        <v>4669</v>
      </c>
      <c r="H5787" s="309">
        <f>H5785-H5786</f>
        <v>0</v>
      </c>
      <c r="I5787" s="346">
        <f>I5785-I5786</f>
        <v>0</v>
      </c>
      <c r="J5787" s="301"/>
      <c r="K5787" s="391"/>
      <c r="L5787" s="349"/>
      <c r="M5787" s="301"/>
      <c r="N5787" s="391"/>
      <c r="O5787" s="349"/>
      <c r="P5787" s="301"/>
      <c r="S5787" s="364"/>
      <c r="Z5787" s="609" t="s">
        <v>2155</v>
      </c>
      <c r="AA5787" s="609" t="s">
        <v>19</v>
      </c>
    </row>
    <row r="5788" spans="1:27" ht="18">
      <c r="A5788" s="2714"/>
      <c r="B5788" s="371">
        <v>112</v>
      </c>
      <c r="C5788" s="371"/>
      <c r="D5788" s="2716">
        <f t="shared" si="619"/>
        <v>1</v>
      </c>
      <c r="E5788" s="2721">
        <v>1</v>
      </c>
      <c r="F5788" s="371"/>
      <c r="G5788" s="308" t="s">
        <v>4670</v>
      </c>
      <c r="H5788" s="309">
        <f>H5783+H5784+H5787</f>
        <v>0</v>
      </c>
      <c r="I5788" s="346">
        <f>I5783+I5784+I5787</f>
        <v>0</v>
      </c>
      <c r="J5788" s="301"/>
      <c r="K5788" s="391"/>
      <c r="L5788" s="349"/>
      <c r="M5788" s="301"/>
      <c r="N5788" s="391"/>
      <c r="O5788" s="349"/>
      <c r="P5788" s="301"/>
      <c r="S5788" s="364"/>
      <c r="Z5788" s="609" t="s">
        <v>2155</v>
      </c>
      <c r="AA5788" s="609" t="s">
        <v>19</v>
      </c>
    </row>
    <row r="5789" spans="1:27" ht="24">
      <c r="A5789" s="2714"/>
      <c r="B5789" s="371">
        <v>113</v>
      </c>
      <c r="C5789" s="371"/>
      <c r="D5789" s="2716">
        <f t="shared" si="619"/>
        <v>1</v>
      </c>
      <c r="E5789" s="2721">
        <v>1</v>
      </c>
      <c r="F5789" s="371"/>
      <c r="G5789" s="308" t="s">
        <v>4671</v>
      </c>
      <c r="H5789" s="309"/>
      <c r="I5789" s="346"/>
      <c r="J5789" s="301"/>
      <c r="K5789" s="391"/>
      <c r="L5789" s="349"/>
      <c r="M5789" s="301"/>
      <c r="N5789" s="391"/>
      <c r="O5789" s="349"/>
      <c r="P5789" s="301"/>
      <c r="S5789" s="364"/>
      <c r="Z5789" s="609" t="s">
        <v>2155</v>
      </c>
      <c r="AA5789" s="609" t="s">
        <v>19</v>
      </c>
    </row>
    <row r="5790" spans="1:27" ht="24">
      <c r="A5790" s="2714"/>
      <c r="B5790" s="371">
        <v>114</v>
      </c>
      <c r="C5790" s="371"/>
      <c r="D5790" s="2716">
        <f t="shared" si="619"/>
        <v>1</v>
      </c>
      <c r="E5790" s="2721">
        <v>1</v>
      </c>
      <c r="F5790" s="371"/>
      <c r="G5790" s="308" t="s">
        <v>4672</v>
      </c>
      <c r="H5790" s="309"/>
      <c r="I5790" s="346"/>
      <c r="J5790" s="301"/>
      <c r="K5790" s="391"/>
      <c r="L5790" s="349"/>
      <c r="M5790" s="301"/>
      <c r="N5790" s="391"/>
      <c r="O5790" s="349"/>
      <c r="P5790" s="301"/>
      <c r="S5790" s="364"/>
      <c r="Z5790" s="609" t="s">
        <v>2155</v>
      </c>
      <c r="AA5790" s="609" t="s">
        <v>19</v>
      </c>
    </row>
    <row r="5791" spans="1:27" ht="18">
      <c r="A5791" s="2714"/>
      <c r="B5791" s="371">
        <v>115</v>
      </c>
      <c r="C5791" s="371"/>
      <c r="D5791" s="2716">
        <f t="shared" si="619"/>
        <v>1</v>
      </c>
      <c r="E5791" s="2721">
        <v>1</v>
      </c>
      <c r="F5791" s="371"/>
      <c r="G5791" s="308" t="s">
        <v>4673</v>
      </c>
      <c r="H5791" s="309"/>
      <c r="I5791" s="346"/>
      <c r="J5791" s="301"/>
      <c r="K5791" s="391"/>
      <c r="L5791" s="349"/>
      <c r="M5791" s="301"/>
      <c r="N5791" s="391"/>
      <c r="O5791" s="349"/>
      <c r="P5791" s="301"/>
      <c r="S5791" s="364"/>
      <c r="Z5791" s="609" t="s">
        <v>2155</v>
      </c>
      <c r="AA5791" s="609" t="s">
        <v>19</v>
      </c>
    </row>
    <row r="5792" spans="1:27" ht="18">
      <c r="A5792" s="2714"/>
      <c r="B5792" s="371">
        <v>116</v>
      </c>
      <c r="C5792" s="371"/>
      <c r="D5792" s="2716">
        <f t="shared" si="619"/>
        <v>1</v>
      </c>
      <c r="E5792" s="2721">
        <v>1</v>
      </c>
      <c r="F5792" s="371"/>
      <c r="G5792" s="308" t="s">
        <v>4674</v>
      </c>
      <c r="H5792" s="309"/>
      <c r="I5792" s="346"/>
      <c r="J5792" s="301"/>
      <c r="K5792" s="391"/>
      <c r="L5792" s="349"/>
      <c r="M5792" s="301"/>
      <c r="N5792" s="391"/>
      <c r="O5792" s="349"/>
      <c r="P5792" s="301"/>
      <c r="S5792" s="364"/>
      <c r="Z5792" s="609" t="s">
        <v>2155</v>
      </c>
      <c r="AA5792" s="609" t="s">
        <v>19</v>
      </c>
    </row>
    <row r="5793" spans="1:31" ht="18">
      <c r="A5793" s="2714"/>
      <c r="B5793" s="371">
        <v>117</v>
      </c>
      <c r="C5793" s="371"/>
      <c r="D5793" s="2716">
        <f t="shared" si="619"/>
        <v>1</v>
      </c>
      <c r="E5793" s="2721">
        <v>1</v>
      </c>
      <c r="F5793" s="371"/>
      <c r="G5793" s="308" t="s">
        <v>4675</v>
      </c>
      <c r="H5793" s="309"/>
      <c r="I5793" s="346"/>
      <c r="J5793" s="301"/>
      <c r="K5793" s="391"/>
      <c r="L5793" s="349"/>
      <c r="M5793" s="301"/>
      <c r="N5793" s="391"/>
      <c r="O5793" s="349"/>
      <c r="P5793" s="301"/>
      <c r="S5793" s="364"/>
      <c r="Z5793" s="609" t="s">
        <v>2155</v>
      </c>
      <c r="AA5793" s="609" t="s">
        <v>19</v>
      </c>
    </row>
    <row r="5794" spans="1:31" ht="18">
      <c r="A5794" s="2714"/>
      <c r="B5794" s="371">
        <v>118</v>
      </c>
      <c r="C5794" s="371" t="s">
        <v>2791</v>
      </c>
      <c r="D5794" s="2716">
        <f t="shared" si="619"/>
        <v>0</v>
      </c>
      <c r="E5794" s="2721">
        <v>1</v>
      </c>
      <c r="F5794" s="371"/>
      <c r="G5794" s="319" t="s">
        <v>2792</v>
      </c>
      <c r="H5794" s="309"/>
      <c r="I5794" s="346"/>
      <c r="J5794" s="301"/>
      <c r="K5794" s="391"/>
      <c r="L5794" s="349"/>
      <c r="M5794" s="301"/>
      <c r="N5794" s="391"/>
      <c r="O5794" s="349"/>
      <c r="P5794" s="301"/>
      <c r="S5794" s="364"/>
      <c r="Z5794" s="609" t="s">
        <v>2155</v>
      </c>
      <c r="AA5794" s="609" t="s">
        <v>19</v>
      </c>
    </row>
    <row r="5795" spans="1:31" ht="18.75" thickBot="1">
      <c r="A5795" s="2714"/>
      <c r="B5795" s="371"/>
      <c r="C5795" s="371"/>
      <c r="D5795" s="2716">
        <f t="shared" si="619"/>
        <v>0</v>
      </c>
      <c r="E5795" s="2721" t="s">
        <v>3595</v>
      </c>
      <c r="F5795" s="371"/>
      <c r="G5795" s="2617"/>
      <c r="H5795" s="2485"/>
      <c r="I5795" s="2502"/>
      <c r="J5795" s="301"/>
      <c r="K5795" s="391"/>
      <c r="L5795" s="349"/>
      <c r="M5795" s="301"/>
      <c r="N5795" s="391"/>
      <c r="O5795" s="349"/>
      <c r="P5795" s="301"/>
      <c r="S5795" s="364"/>
      <c r="Z5795" s="609" t="s">
        <v>2155</v>
      </c>
      <c r="AA5795" s="609" t="s">
        <v>19</v>
      </c>
    </row>
    <row r="5796" spans="1:31" ht="18">
      <c r="A5796" s="2714"/>
      <c r="B5796" s="371"/>
      <c r="C5796" s="371" t="s">
        <v>2755</v>
      </c>
      <c r="D5796" s="2716"/>
      <c r="F5796" s="371"/>
      <c r="G5796" s="376"/>
      <c r="H5796" s="315"/>
      <c r="I5796" s="396"/>
      <c r="J5796" s="301"/>
      <c r="K5796" s="391"/>
      <c r="L5796" s="349"/>
      <c r="M5796" s="301"/>
      <c r="N5796" s="391"/>
      <c r="O5796" s="349"/>
      <c r="P5796" s="301"/>
      <c r="S5796" s="364"/>
      <c r="Z5796" s="609" t="s">
        <v>2155</v>
      </c>
      <c r="AA5796" s="609" t="s">
        <v>19</v>
      </c>
    </row>
    <row r="5797" spans="1:31" ht="24" hidden="1">
      <c r="A5797" s="2714" t="s">
        <v>6103</v>
      </c>
      <c r="B5797" s="371">
        <v>1</v>
      </c>
      <c r="C5797" s="371"/>
      <c r="D5797" s="2716" t="str">
        <f>VLOOKUP($A5797,Sheet_NoteList,2,0)</f>
        <v>其他重要事项——终止经营</v>
      </c>
      <c r="E5797" s="2716" t="s">
        <v>6614</v>
      </c>
      <c r="F5797" s="293"/>
      <c r="G5797" s="372" t="str">
        <f>"("&amp;B5797&amp;")"&amp;D5797</f>
        <v>(1)其他重要事项——终止经营</v>
      </c>
      <c r="H5797" s="1517" t="str">
        <f>$A5797</f>
        <v>9367b</v>
      </c>
      <c r="I5797" s="343" t="s">
        <v>6617</v>
      </c>
      <c r="J5797" s="301" t="s">
        <v>6615</v>
      </c>
      <c r="K5797" s="2210">
        <f>H5803</f>
        <v>0</v>
      </c>
      <c r="L5797" s="349"/>
      <c r="M5797" s="301" t="s">
        <v>6619</v>
      </c>
      <c r="N5797" s="2210">
        <f>I5803</f>
        <v>0</v>
      </c>
      <c r="O5797" s="349"/>
      <c r="P5797" s="301"/>
      <c r="S5797" s="364"/>
      <c r="Z5797" s="609" t="s">
        <v>2155</v>
      </c>
      <c r="AA5797" s="609" t="s">
        <v>19</v>
      </c>
      <c r="AE5797" s="369" t="s">
        <v>2761</v>
      </c>
    </row>
    <row r="5798" spans="1:31" ht="0.75" hidden="1" customHeight="1" thickBot="1">
      <c r="A5798" s="2714"/>
      <c r="B5798" s="371"/>
      <c r="C5798" s="371"/>
      <c r="D5798" s="2716"/>
      <c r="E5798" s="586"/>
      <c r="F5798" s="586"/>
      <c r="G5798" s="2224" t="s">
        <v>6104</v>
      </c>
      <c r="H5798" s="1617" t="s">
        <v>6283</v>
      </c>
      <c r="I5798" s="371" t="s">
        <v>6284</v>
      </c>
      <c r="J5798" s="371" t="s">
        <v>6285</v>
      </c>
      <c r="K5798" s="371" t="s">
        <v>6106</v>
      </c>
      <c r="L5798" s="371" t="s">
        <v>6107</v>
      </c>
      <c r="M5798" s="371" t="s">
        <v>6108</v>
      </c>
      <c r="N5798" s="391"/>
      <c r="O5798" s="349"/>
      <c r="P5798" s="301"/>
      <c r="S5798" s="364"/>
      <c r="Z5798" s="609" t="s">
        <v>2155</v>
      </c>
      <c r="AA5798" s="609" t="s">
        <v>19</v>
      </c>
      <c r="AE5798" s="369" t="s">
        <v>2761</v>
      </c>
    </row>
    <row r="5799" spans="1:31" ht="36" hidden="1">
      <c r="A5799" s="2714"/>
      <c r="B5799" s="371"/>
      <c r="C5799" s="371"/>
      <c r="D5799" s="2716"/>
      <c r="E5799" s="586" t="s">
        <v>2749</v>
      </c>
      <c r="F5799" s="414"/>
      <c r="G5799" s="2466" t="s">
        <v>47</v>
      </c>
      <c r="H5799" s="2455" t="s">
        <v>4218</v>
      </c>
      <c r="I5799" s="2455" t="s">
        <v>6105</v>
      </c>
      <c r="J5799" s="2455" t="s">
        <v>861</v>
      </c>
      <c r="K5799" s="2455" t="s">
        <v>717</v>
      </c>
      <c r="L5799" s="2455" t="s">
        <v>871</v>
      </c>
      <c r="M5799" s="2456" t="s">
        <v>6109</v>
      </c>
      <c r="N5799" s="2452" t="s">
        <v>5990</v>
      </c>
      <c r="O5799" s="349"/>
      <c r="P5799" s="301"/>
      <c r="S5799" s="364"/>
      <c r="Z5799" s="609" t="s">
        <v>2155</v>
      </c>
      <c r="AA5799" s="609" t="s">
        <v>19</v>
      </c>
      <c r="AE5799" s="369" t="s">
        <v>2761</v>
      </c>
    </row>
    <row r="5800" spans="1:31" ht="18" hidden="1">
      <c r="A5800" s="2714"/>
      <c r="B5800" s="371">
        <v>101</v>
      </c>
      <c r="C5800" s="371" t="s">
        <v>2791</v>
      </c>
      <c r="D5800" s="2716">
        <f t="shared" ref="D5800:D5803" si="620">IF(OR(G5800="*",G5800="",G5800=0),0,COUNTIF($G$5800:$G$5803,G5800))</f>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 hidden="1">
      <c r="A5801" s="2714"/>
      <c r="B5801" s="371">
        <v>102</v>
      </c>
      <c r="C5801" s="371" t="s">
        <v>2791</v>
      </c>
      <c r="D5801" s="2716">
        <f t="shared" si="620"/>
        <v>0</v>
      </c>
      <c r="E5801" s="2721">
        <v>1</v>
      </c>
      <c r="F5801" s="293"/>
      <c r="G5801" s="2467" t="s">
        <v>2792</v>
      </c>
      <c r="H5801" s="2275"/>
      <c r="I5801" s="2275"/>
      <c r="J5801" s="2275"/>
      <c r="K5801" s="2275"/>
      <c r="L5801" s="2275"/>
      <c r="M5801" s="2296"/>
      <c r="N5801" s="391"/>
      <c r="O5801" s="349"/>
      <c r="P5801" s="301"/>
      <c r="S5801" s="364"/>
      <c r="Z5801" s="609" t="s">
        <v>2155</v>
      </c>
      <c r="AA5801" s="609" t="s">
        <v>19</v>
      </c>
      <c r="AE5801" s="369" t="s">
        <v>2761</v>
      </c>
    </row>
    <row r="5802" spans="1:31" ht="18" hidden="1">
      <c r="A5802" s="2714"/>
      <c r="B5802" s="371">
        <v>103</v>
      </c>
      <c r="C5802" s="371" t="s">
        <v>2791</v>
      </c>
      <c r="D5802" s="2716">
        <f t="shared" si="620"/>
        <v>0</v>
      </c>
      <c r="E5802" s="2721">
        <v>1</v>
      </c>
      <c r="F5802" s="293"/>
      <c r="G5802" s="2467" t="s">
        <v>2792</v>
      </c>
      <c r="H5802" s="2275"/>
      <c r="I5802" s="2275"/>
      <c r="J5802" s="2275"/>
      <c r="K5802" s="2275"/>
      <c r="L5802" s="2275"/>
      <c r="M5802" s="2296"/>
      <c r="N5802" s="391"/>
      <c r="O5802" s="349"/>
      <c r="P5802" s="301"/>
      <c r="S5802" s="364"/>
      <c r="Z5802" s="609" t="s">
        <v>2155</v>
      </c>
      <c r="AA5802" s="609" t="s">
        <v>19</v>
      </c>
      <c r="AE5802" s="369" t="s">
        <v>2761</v>
      </c>
    </row>
    <row r="5803" spans="1:31" ht="18.75" hidden="1" thickBot="1">
      <c r="A5803" s="2714"/>
      <c r="B5803" s="371"/>
      <c r="C5803" s="371"/>
      <c r="D5803" s="2716">
        <f t="shared" si="620"/>
        <v>1</v>
      </c>
      <c r="E5803" s="2721" t="s">
        <v>2751</v>
      </c>
      <c r="F5803" s="293"/>
      <c r="G5803" s="310" t="s">
        <v>2752</v>
      </c>
      <c r="H5803" s="1481">
        <f t="shared" ref="H5803:M5803" si="621">SUMPRODUCT($E5799:$E5802,H5799:H5802)</f>
        <v>0</v>
      </c>
      <c r="I5803" s="1481">
        <f t="shared" si="621"/>
        <v>0</v>
      </c>
      <c r="J5803" s="1481">
        <f t="shared" si="621"/>
        <v>0</v>
      </c>
      <c r="K5803" s="1481">
        <f t="shared" si="621"/>
        <v>0</v>
      </c>
      <c r="L5803" s="1481">
        <f t="shared" si="621"/>
        <v>0</v>
      </c>
      <c r="M5803" s="1482">
        <f t="shared" si="621"/>
        <v>0</v>
      </c>
      <c r="N5803" s="391"/>
      <c r="O5803" s="349"/>
      <c r="P5803" s="301"/>
      <c r="S5803" s="364"/>
      <c r="Z5803" s="609" t="s">
        <v>2155</v>
      </c>
      <c r="AA5803" s="609" t="s">
        <v>19</v>
      </c>
      <c r="AE5803" s="369" t="s">
        <v>2761</v>
      </c>
    </row>
    <row r="5804" spans="1:31" ht="18" hidden="1">
      <c r="A5804" s="2714"/>
      <c r="B5804" s="371"/>
      <c r="C5804" s="371" t="s">
        <v>2755</v>
      </c>
      <c r="D5804" s="2716"/>
      <c r="F5804" s="293"/>
      <c r="G5804" s="376"/>
      <c r="H5804" s="1576"/>
      <c r="I5804" s="396"/>
      <c r="J5804" s="315"/>
      <c r="K5804" s="423"/>
      <c r="L5804" s="315"/>
      <c r="M5804" s="315"/>
      <c r="N5804" s="391"/>
      <c r="O5804" s="349"/>
      <c r="P5804" s="301"/>
      <c r="S5804" s="364"/>
      <c r="Z5804" s="609" t="s">
        <v>2155</v>
      </c>
      <c r="AA5804" s="609" t="s">
        <v>19</v>
      </c>
      <c r="AE5804" s="369" t="s">
        <v>2761</v>
      </c>
    </row>
    <row r="5805" spans="1:31" ht="24">
      <c r="A5805" s="2714">
        <v>9601</v>
      </c>
      <c r="B5805" s="371" t="s">
        <v>6573</v>
      </c>
      <c r="C5805" s="2716" t="str">
        <f>VLOOKUP($A5805,Sheet_Items,2,0)</f>
        <v>当期非经常性损益明细表</v>
      </c>
      <c r="D5805" s="371"/>
      <c r="E5805" s="2716" t="s">
        <v>2739</v>
      </c>
      <c r="F5805" s="294"/>
      <c r="G5805" s="305" t="str">
        <f>B5805&amp;" "&amp;C5805</f>
        <v>十六 1. 当期非经常性损益明细表</v>
      </c>
      <c r="H5805" s="306"/>
      <c r="I5805" s="306"/>
      <c r="J5805" s="306"/>
      <c r="K5805" s="539"/>
      <c r="L5805" s="342"/>
      <c r="M5805" s="306"/>
      <c r="N5805" s="539"/>
      <c r="O5805" s="306"/>
      <c r="P5805" s="301"/>
      <c r="S5805" s="364"/>
      <c r="Z5805" s="609" t="s">
        <v>2182</v>
      </c>
      <c r="AA5805" s="609"/>
    </row>
    <row r="5806" spans="1:31" ht="18">
      <c r="A5806" s="2714" t="s">
        <v>2181</v>
      </c>
      <c r="B5806" s="371">
        <v>1</v>
      </c>
      <c r="C5806" s="371"/>
      <c r="D5806" s="2716" t="str">
        <f>VLOOKUP($A5806,Sheet_NoteList,2,0)</f>
        <v>当期非经常性损益明细表</v>
      </c>
      <c r="E5806" s="2716" t="s">
        <v>2742</v>
      </c>
      <c r="F5806" s="294"/>
      <c r="G5806" s="307" t="str">
        <f>"("&amp;B5806&amp;")"&amp;D5806</f>
        <v>(1)当期非经常性损益明细表</v>
      </c>
      <c r="H5806" s="1517" t="str">
        <f>$A5806</f>
        <v>9601a</v>
      </c>
      <c r="I5806" s="343" t="s">
        <v>2743</v>
      </c>
      <c r="J5806" s="301"/>
      <c r="K5806" s="3084">
        <f>H5836</f>
        <v>0</v>
      </c>
      <c r="L5806" s="315"/>
      <c r="M5806" s="301"/>
      <c r="N5806" s="3084">
        <f>I5836</f>
        <v>0</v>
      </c>
      <c r="O5806" s="315"/>
      <c r="P5806" s="301"/>
      <c r="S5806" s="364"/>
      <c r="Z5806" s="609" t="s">
        <v>2182</v>
      </c>
      <c r="AA5806" s="609"/>
    </row>
    <row r="5807" spans="1:31" ht="0.75" customHeight="1" thickBot="1">
      <c r="A5807" s="2714"/>
      <c r="B5807" s="371"/>
      <c r="C5807" s="371"/>
      <c r="D5807" s="371"/>
      <c r="F5807" s="371"/>
      <c r="G5807" s="371" t="s">
        <v>4676</v>
      </c>
      <c r="H5807" s="371" t="s">
        <v>4223</v>
      </c>
      <c r="I5807" s="371" t="s">
        <v>2928</v>
      </c>
      <c r="J5807" s="371" t="s">
        <v>6321</v>
      </c>
      <c r="M5807" s="291"/>
      <c r="N5807" s="291"/>
      <c r="O5807" s="291"/>
      <c r="P5807" s="291"/>
      <c r="S5807" s="364"/>
      <c r="Z5807" s="609" t="s">
        <v>2182</v>
      </c>
      <c r="AA5807" s="609"/>
    </row>
    <row r="5808" spans="1:31" ht="18">
      <c r="A5808" s="2714"/>
      <c r="B5808" s="371"/>
      <c r="C5808" s="371"/>
      <c r="D5808" s="371"/>
      <c r="E5808" s="2716" t="s">
        <v>2749</v>
      </c>
      <c r="F5808" s="294"/>
      <c r="G5808" s="2498" t="s">
        <v>47</v>
      </c>
      <c r="H5808" s="2499" t="str">
        <f>$V$4</f>
        <v>2019年度</v>
      </c>
      <c r="I5808" s="2499" t="str">
        <f>$V$5</f>
        <v>2018年度</v>
      </c>
      <c r="J5808" s="2500" t="s">
        <v>2758</v>
      </c>
      <c r="K5808" s="355" t="s">
        <v>5353</v>
      </c>
      <c r="M5808" s="291"/>
      <c r="N5808" s="291"/>
      <c r="O5808" s="291"/>
      <c r="P5808" s="291"/>
      <c r="S5808" s="364"/>
      <c r="Z5808" s="609" t="s">
        <v>2182</v>
      </c>
      <c r="AA5808" s="609"/>
    </row>
    <row r="5809" spans="1:27" ht="18">
      <c r="A5809" s="2714"/>
      <c r="B5809" s="371">
        <v>101</v>
      </c>
      <c r="C5809" s="371"/>
      <c r="D5809" s="2716">
        <f t="shared" ref="D5809:D5836" si="622">IF(OR(G5809="*",G5809="",G5809=0),0,COUNTIF($G$5809:$G$5836,G5809))</f>
        <v>1</v>
      </c>
      <c r="E5809" s="2721">
        <v>1</v>
      </c>
      <c r="F5809" s="294"/>
      <c r="G5809" s="308" t="s">
        <v>4677</v>
      </c>
      <c r="H5809" s="309"/>
      <c r="I5809" s="309"/>
      <c r="J5809" s="388"/>
      <c r="K5809" s="626"/>
      <c r="M5809" s="291"/>
      <c r="N5809" s="291"/>
      <c r="O5809" s="291"/>
      <c r="P5809" s="291"/>
      <c r="S5809" s="364"/>
      <c r="Z5809" s="609" t="s">
        <v>2182</v>
      </c>
      <c r="AA5809" s="609"/>
    </row>
    <row r="5810" spans="1:27" ht="36">
      <c r="A5810" s="2714"/>
      <c r="B5810" s="371">
        <v>102</v>
      </c>
      <c r="C5810" s="371"/>
      <c r="D5810" s="2716">
        <f t="shared" si="622"/>
        <v>1</v>
      </c>
      <c r="E5810" s="2721">
        <v>1</v>
      </c>
      <c r="F5810" s="294"/>
      <c r="G5810" s="308" t="s">
        <v>4678</v>
      </c>
      <c r="H5810" s="309"/>
      <c r="I5810" s="309"/>
      <c r="J5810" s="388"/>
      <c r="K5810" s="626"/>
      <c r="M5810" s="291"/>
      <c r="N5810" s="291"/>
      <c r="O5810" s="291"/>
      <c r="P5810" s="291"/>
      <c r="S5810" s="364"/>
      <c r="Z5810" s="609" t="s">
        <v>2182</v>
      </c>
      <c r="AA5810" s="609"/>
    </row>
    <row r="5811" spans="1:27" ht="60">
      <c r="A5811" s="2714"/>
      <c r="B5811" s="371">
        <v>103</v>
      </c>
      <c r="C5811" s="371"/>
      <c r="D5811" s="2716">
        <f t="shared" si="622"/>
        <v>1</v>
      </c>
      <c r="E5811" s="2721">
        <v>1</v>
      </c>
      <c r="F5811" s="294"/>
      <c r="G5811" s="308" t="s">
        <v>4679</v>
      </c>
      <c r="H5811" s="309"/>
      <c r="I5811" s="309"/>
      <c r="J5811" s="388"/>
      <c r="K5811" s="626"/>
      <c r="M5811" s="291"/>
      <c r="N5811" s="291"/>
      <c r="O5811" s="291"/>
      <c r="P5811" s="291"/>
      <c r="S5811" s="364"/>
      <c r="Z5811" s="609" t="s">
        <v>2182</v>
      </c>
      <c r="AA5811" s="609"/>
    </row>
    <row r="5812" spans="1:27" ht="24">
      <c r="A5812" s="2714"/>
      <c r="B5812" s="371">
        <v>104</v>
      </c>
      <c r="C5812" s="371"/>
      <c r="D5812" s="2716">
        <f t="shared" si="622"/>
        <v>1</v>
      </c>
      <c r="E5812" s="2721">
        <v>1</v>
      </c>
      <c r="F5812" s="294"/>
      <c r="G5812" s="308" t="s">
        <v>4680</v>
      </c>
      <c r="H5812" s="309"/>
      <c r="I5812" s="309"/>
      <c r="J5812" s="388"/>
      <c r="K5812" s="626"/>
      <c r="M5812" s="291"/>
      <c r="N5812" s="291"/>
      <c r="O5812" s="291"/>
      <c r="P5812" s="291"/>
      <c r="S5812" s="364"/>
      <c r="Z5812" s="609" t="s">
        <v>2182</v>
      </c>
      <c r="AA5812" s="609"/>
    </row>
    <row r="5813" spans="1:27" ht="48">
      <c r="A5813" s="2714"/>
      <c r="B5813" s="371">
        <v>105</v>
      </c>
      <c r="C5813" s="371"/>
      <c r="D5813" s="2716">
        <f t="shared" si="622"/>
        <v>1</v>
      </c>
      <c r="E5813" s="2721">
        <v>1</v>
      </c>
      <c r="F5813" s="294"/>
      <c r="G5813" s="308" t="s">
        <v>4681</v>
      </c>
      <c r="H5813" s="309"/>
      <c r="I5813" s="309"/>
      <c r="J5813" s="388"/>
      <c r="K5813" s="626"/>
      <c r="M5813" s="291"/>
      <c r="N5813" s="291"/>
      <c r="O5813" s="291"/>
      <c r="P5813" s="291"/>
      <c r="S5813" s="364"/>
      <c r="Z5813" s="609" t="s">
        <v>2182</v>
      </c>
      <c r="AA5813" s="609"/>
    </row>
    <row r="5814" spans="1:27" ht="18">
      <c r="A5814" s="2714"/>
      <c r="B5814" s="371">
        <v>106</v>
      </c>
      <c r="C5814" s="371"/>
      <c r="D5814" s="2716">
        <f t="shared" si="622"/>
        <v>1</v>
      </c>
      <c r="E5814" s="2721">
        <v>1</v>
      </c>
      <c r="F5814" s="294"/>
      <c r="G5814" s="308" t="s">
        <v>4682</v>
      </c>
      <c r="H5814" s="309"/>
      <c r="I5814" s="309"/>
      <c r="J5814" s="388"/>
      <c r="K5814" s="626"/>
      <c r="M5814" s="291"/>
      <c r="N5814" s="291"/>
      <c r="O5814" s="291"/>
      <c r="P5814" s="291"/>
      <c r="S5814" s="364"/>
      <c r="Z5814" s="609" t="s">
        <v>2182</v>
      </c>
      <c r="AA5814" s="609"/>
    </row>
    <row r="5815" spans="1:27" ht="24">
      <c r="A5815" s="2714"/>
      <c r="B5815" s="371">
        <v>107</v>
      </c>
      <c r="C5815" s="371"/>
      <c r="D5815" s="2716">
        <f t="shared" si="622"/>
        <v>1</v>
      </c>
      <c r="E5815" s="2721">
        <v>1</v>
      </c>
      <c r="F5815" s="294"/>
      <c r="G5815" s="308" t="s">
        <v>4683</v>
      </c>
      <c r="H5815" s="309"/>
      <c r="I5815" s="309"/>
      <c r="J5815" s="388"/>
      <c r="K5815" s="626"/>
      <c r="M5815" s="291"/>
      <c r="N5815" s="291"/>
      <c r="O5815" s="291"/>
      <c r="P5815" s="291"/>
      <c r="S5815" s="364"/>
      <c r="Z5815" s="609" t="s">
        <v>2182</v>
      </c>
      <c r="AA5815" s="609"/>
    </row>
    <row r="5816" spans="1:27" ht="36">
      <c r="A5816" s="2714"/>
      <c r="B5816" s="371">
        <v>108</v>
      </c>
      <c r="C5816" s="371"/>
      <c r="D5816" s="2716">
        <f t="shared" si="622"/>
        <v>1</v>
      </c>
      <c r="E5816" s="2721">
        <v>1</v>
      </c>
      <c r="F5816" s="294"/>
      <c r="G5816" s="308" t="s">
        <v>4684</v>
      </c>
      <c r="H5816" s="309"/>
      <c r="I5816" s="309"/>
      <c r="J5816" s="388"/>
      <c r="K5816" s="626"/>
      <c r="M5816" s="291"/>
      <c r="N5816" s="291"/>
      <c r="O5816" s="291"/>
      <c r="P5816" s="291"/>
      <c r="S5816" s="364"/>
      <c r="Z5816" s="609" t="s">
        <v>2182</v>
      </c>
      <c r="AA5816" s="609"/>
    </row>
    <row r="5817" spans="1:27" ht="18">
      <c r="A5817" s="2714"/>
      <c r="B5817" s="371">
        <v>109</v>
      </c>
      <c r="C5817" s="371"/>
      <c r="D5817" s="2716">
        <f t="shared" si="622"/>
        <v>1</v>
      </c>
      <c r="E5817" s="2721">
        <v>1</v>
      </c>
      <c r="F5817" s="294"/>
      <c r="G5817" s="308" t="s">
        <v>4685</v>
      </c>
      <c r="H5817" s="309"/>
      <c r="I5817" s="309"/>
      <c r="J5817" s="388"/>
      <c r="K5817" s="626"/>
      <c r="M5817" s="291"/>
      <c r="N5817" s="291"/>
      <c r="O5817" s="291"/>
      <c r="P5817" s="291"/>
      <c r="S5817" s="364"/>
      <c r="Z5817" s="609" t="s">
        <v>2182</v>
      </c>
      <c r="AA5817" s="609"/>
    </row>
    <row r="5818" spans="1:27" ht="24">
      <c r="A5818" s="2714"/>
      <c r="B5818" s="371">
        <v>110</v>
      </c>
      <c r="C5818" s="371"/>
      <c r="D5818" s="2716">
        <f t="shared" si="622"/>
        <v>1</v>
      </c>
      <c r="E5818" s="2721">
        <v>1</v>
      </c>
      <c r="F5818" s="294"/>
      <c r="G5818" s="308" t="s">
        <v>4686</v>
      </c>
      <c r="H5818" s="309"/>
      <c r="I5818" s="309"/>
      <c r="J5818" s="388"/>
      <c r="K5818" s="626"/>
      <c r="M5818" s="291"/>
      <c r="N5818" s="291"/>
      <c r="O5818" s="291"/>
      <c r="P5818" s="291"/>
      <c r="S5818" s="364"/>
      <c r="Z5818" s="609" t="s">
        <v>2182</v>
      </c>
      <c r="AA5818" s="609"/>
    </row>
    <row r="5819" spans="1:27" ht="24">
      <c r="A5819" s="2714"/>
      <c r="B5819" s="371">
        <v>111</v>
      </c>
      <c r="C5819" s="371"/>
      <c r="D5819" s="2716">
        <f t="shared" si="622"/>
        <v>1</v>
      </c>
      <c r="E5819" s="2721">
        <v>1</v>
      </c>
      <c r="F5819" s="294"/>
      <c r="G5819" s="308" t="s">
        <v>4687</v>
      </c>
      <c r="H5819" s="309"/>
      <c r="I5819" s="309"/>
      <c r="J5819" s="388"/>
      <c r="K5819" s="626"/>
      <c r="M5819" s="291"/>
      <c r="N5819" s="291"/>
      <c r="O5819" s="291"/>
      <c r="P5819" s="291"/>
      <c r="S5819" s="364"/>
      <c r="Z5819" s="609" t="s">
        <v>2182</v>
      </c>
      <c r="AA5819" s="609"/>
    </row>
    <row r="5820" spans="1:27" ht="36">
      <c r="A5820" s="2714"/>
      <c r="B5820" s="371">
        <v>112</v>
      </c>
      <c r="C5820" s="371"/>
      <c r="D5820" s="2716">
        <f t="shared" si="622"/>
        <v>1</v>
      </c>
      <c r="E5820" s="2721">
        <v>1</v>
      </c>
      <c r="F5820" s="294"/>
      <c r="G5820" s="308" t="s">
        <v>4688</v>
      </c>
      <c r="H5820" s="309"/>
      <c r="I5820" s="309"/>
      <c r="J5820" s="388"/>
      <c r="K5820" s="626"/>
      <c r="M5820" s="291"/>
      <c r="N5820" s="291"/>
      <c r="O5820" s="291"/>
      <c r="P5820" s="291"/>
      <c r="S5820" s="364"/>
      <c r="Z5820" s="609" t="s">
        <v>2182</v>
      </c>
      <c r="AA5820" s="609"/>
    </row>
    <row r="5821" spans="1:27" ht="24">
      <c r="A5821" s="2714"/>
      <c r="B5821" s="371">
        <v>113</v>
      </c>
      <c r="C5821" s="371"/>
      <c r="D5821" s="2716">
        <f t="shared" si="622"/>
        <v>1</v>
      </c>
      <c r="E5821" s="2721">
        <v>1</v>
      </c>
      <c r="F5821" s="294"/>
      <c r="G5821" s="308" t="s">
        <v>4689</v>
      </c>
      <c r="H5821" s="309"/>
      <c r="I5821" s="309"/>
      <c r="J5821" s="388"/>
      <c r="K5821" s="626"/>
      <c r="M5821" s="291"/>
      <c r="N5821" s="291"/>
      <c r="O5821" s="291"/>
      <c r="P5821" s="291"/>
      <c r="S5821" s="364"/>
      <c r="Z5821" s="609" t="s">
        <v>2182</v>
      </c>
      <c r="AA5821" s="609"/>
    </row>
    <row r="5822" spans="1:27" ht="108">
      <c r="A5822" s="2714"/>
      <c r="B5822" s="371">
        <v>114</v>
      </c>
      <c r="C5822" s="371"/>
      <c r="D5822" s="2716">
        <f t="shared" si="622"/>
        <v>1</v>
      </c>
      <c r="E5822" s="2721">
        <v>1</v>
      </c>
      <c r="F5822" s="294"/>
      <c r="G5822" s="1474" t="s">
        <v>6148</v>
      </c>
      <c r="H5822" s="309"/>
      <c r="I5822" s="2277">
        <v>0</v>
      </c>
      <c r="J5822" s="388"/>
      <c r="K5822" s="626"/>
      <c r="M5822" s="291"/>
      <c r="N5822" s="291"/>
      <c r="O5822" s="291"/>
      <c r="P5822" s="291"/>
      <c r="S5822" s="364"/>
      <c r="Z5822" s="609" t="s">
        <v>2182</v>
      </c>
      <c r="AA5822" s="609"/>
    </row>
    <row r="5823" spans="1:27" ht="84">
      <c r="A5823" s="2714"/>
      <c r="B5823" s="371">
        <v>115</v>
      </c>
      <c r="C5823" s="371"/>
      <c r="D5823" s="2716">
        <f t="shared" si="622"/>
        <v>1</v>
      </c>
      <c r="E5823" s="2721">
        <v>1</v>
      </c>
      <c r="F5823" s="294"/>
      <c r="G5823" s="308" t="s">
        <v>4690</v>
      </c>
      <c r="H5823" s="2277">
        <v>0</v>
      </c>
      <c r="I5823" s="309"/>
      <c r="J5823" s="388"/>
      <c r="K5823" s="626"/>
      <c r="M5823" s="291"/>
      <c r="N5823" s="291"/>
      <c r="O5823" s="291"/>
      <c r="P5823" s="291"/>
      <c r="S5823" s="364"/>
      <c r="Z5823" s="609" t="s">
        <v>2182</v>
      </c>
      <c r="AA5823" s="609"/>
    </row>
    <row r="5824" spans="1:27" ht="24">
      <c r="A5824" s="2714"/>
      <c r="B5824" s="371">
        <v>116</v>
      </c>
      <c r="C5824" s="371"/>
      <c r="D5824" s="2716">
        <f t="shared" si="622"/>
        <v>1</v>
      </c>
      <c r="E5824" s="2721">
        <v>1</v>
      </c>
      <c r="F5824" s="294"/>
      <c r="G5824" s="308" t="s">
        <v>4691</v>
      </c>
      <c r="H5824" s="309"/>
      <c r="I5824" s="309"/>
      <c r="J5824" s="388"/>
      <c r="K5824" s="626"/>
      <c r="M5824" s="291"/>
      <c r="N5824" s="291"/>
      <c r="O5824" s="291"/>
      <c r="P5824" s="291"/>
      <c r="S5824" s="364"/>
      <c r="Z5824" s="609" t="s">
        <v>2182</v>
      </c>
      <c r="AA5824" s="609"/>
    </row>
    <row r="5825" spans="1:27" ht="18">
      <c r="A5825" s="2714"/>
      <c r="B5825" s="371">
        <v>117</v>
      </c>
      <c r="C5825" s="371"/>
      <c r="D5825" s="2716">
        <f t="shared" si="622"/>
        <v>1</v>
      </c>
      <c r="E5825" s="2721">
        <v>1</v>
      </c>
      <c r="F5825" s="294"/>
      <c r="G5825" s="308" t="s">
        <v>4692</v>
      </c>
      <c r="H5825" s="309"/>
      <c r="I5825" s="309"/>
      <c r="J5825" s="388"/>
      <c r="K5825" s="626"/>
      <c r="M5825" s="291"/>
      <c r="N5825" s="291"/>
      <c r="O5825" s="291"/>
      <c r="P5825" s="291"/>
      <c r="S5825" s="364"/>
      <c r="Z5825" s="609" t="s">
        <v>2182</v>
      </c>
      <c r="AA5825" s="609"/>
    </row>
    <row r="5826" spans="1:27" ht="36">
      <c r="A5826" s="2714"/>
      <c r="B5826" s="371">
        <v>118</v>
      </c>
      <c r="C5826" s="371"/>
      <c r="D5826" s="2716">
        <f t="shared" si="622"/>
        <v>1</v>
      </c>
      <c r="E5826" s="2721">
        <v>1</v>
      </c>
      <c r="F5826" s="294"/>
      <c r="G5826" s="308" t="s">
        <v>4693</v>
      </c>
      <c r="H5826" s="309"/>
      <c r="I5826" s="309"/>
      <c r="J5826" s="388"/>
      <c r="K5826" s="626"/>
      <c r="M5826" s="291"/>
      <c r="N5826" s="291"/>
      <c r="O5826" s="291"/>
      <c r="P5826" s="291"/>
      <c r="S5826" s="364"/>
      <c r="Z5826" s="609" t="s">
        <v>2182</v>
      </c>
      <c r="AA5826" s="609"/>
    </row>
    <row r="5827" spans="1:27" ht="36">
      <c r="A5827" s="2714"/>
      <c r="B5827" s="371">
        <v>119</v>
      </c>
      <c r="C5827" s="371"/>
      <c r="D5827" s="2716">
        <f t="shared" si="622"/>
        <v>1</v>
      </c>
      <c r="E5827" s="2721">
        <v>1</v>
      </c>
      <c r="F5827" s="294"/>
      <c r="G5827" s="308" t="s">
        <v>4694</v>
      </c>
      <c r="H5827" s="309"/>
      <c r="I5827" s="309"/>
      <c r="J5827" s="388"/>
      <c r="K5827" s="626"/>
      <c r="M5827" s="291"/>
      <c r="N5827" s="291"/>
      <c r="O5827" s="291"/>
      <c r="P5827" s="291"/>
      <c r="S5827" s="364"/>
      <c r="Z5827" s="609" t="s">
        <v>2182</v>
      </c>
      <c r="AA5827" s="609"/>
    </row>
    <row r="5828" spans="1:27" ht="18">
      <c r="A5828" s="2714"/>
      <c r="B5828" s="371">
        <v>120</v>
      </c>
      <c r="C5828" s="371"/>
      <c r="D5828" s="2716">
        <f t="shared" si="622"/>
        <v>1</v>
      </c>
      <c r="E5828" s="2721">
        <v>1</v>
      </c>
      <c r="F5828" s="294"/>
      <c r="G5828" s="308" t="s">
        <v>4695</v>
      </c>
      <c r="H5828" s="309"/>
      <c r="I5828" s="309"/>
      <c r="J5828" s="388"/>
      <c r="K5828" s="626"/>
      <c r="M5828" s="291"/>
      <c r="N5828" s="291"/>
      <c r="O5828" s="291"/>
      <c r="P5828" s="291"/>
      <c r="S5828" s="364"/>
      <c r="Z5828" s="609" t="s">
        <v>2182</v>
      </c>
      <c r="AA5828" s="609"/>
    </row>
    <row r="5829" spans="1:27" ht="24">
      <c r="A5829" s="2714"/>
      <c r="B5829" s="371">
        <v>121</v>
      </c>
      <c r="C5829" s="371"/>
      <c r="D5829" s="2716">
        <f t="shared" si="622"/>
        <v>1</v>
      </c>
      <c r="E5829" s="2721">
        <v>1</v>
      </c>
      <c r="F5829" s="294"/>
      <c r="G5829" s="308" t="s">
        <v>4696</v>
      </c>
      <c r="H5829" s="309"/>
      <c r="I5829" s="309"/>
      <c r="J5829" s="388"/>
      <c r="K5829" s="626"/>
      <c r="M5829" s="291"/>
      <c r="N5829" s="291"/>
      <c r="O5829" s="291"/>
      <c r="P5829" s="291"/>
      <c r="S5829" s="364"/>
      <c r="Z5829" s="609" t="s">
        <v>2182</v>
      </c>
      <c r="AA5829" s="609"/>
    </row>
    <row r="5830" spans="1:27" ht="24">
      <c r="A5830" s="2714"/>
      <c r="B5830" s="371">
        <v>122</v>
      </c>
      <c r="C5830" s="371"/>
      <c r="D5830" s="2716">
        <f t="shared" si="622"/>
        <v>1</v>
      </c>
      <c r="E5830" s="2721">
        <v>1</v>
      </c>
      <c r="F5830" s="294"/>
      <c r="G5830" s="308" t="s">
        <v>2185</v>
      </c>
      <c r="H5830" s="309"/>
      <c r="I5830" s="309"/>
      <c r="J5830" s="388"/>
      <c r="K5830" s="626"/>
      <c r="M5830" s="291"/>
      <c r="N5830" s="291"/>
      <c r="O5830" s="291"/>
      <c r="P5830" s="291"/>
      <c r="S5830" s="364"/>
      <c r="Z5830" s="609" t="s">
        <v>2182</v>
      </c>
      <c r="AA5830" s="609"/>
    </row>
    <row r="5831" spans="1:27" ht="18">
      <c r="A5831" s="2714"/>
      <c r="B5831" s="371">
        <v>123</v>
      </c>
      <c r="C5831" s="371" t="s">
        <v>2791</v>
      </c>
      <c r="D5831" s="2716">
        <f t="shared" si="622"/>
        <v>0</v>
      </c>
      <c r="E5831" s="2721">
        <v>1</v>
      </c>
      <c r="F5831" s="294"/>
      <c r="G5831" s="319" t="s">
        <v>2792</v>
      </c>
      <c r="H5831" s="309"/>
      <c r="I5831" s="309"/>
      <c r="J5831" s="388"/>
      <c r="K5831" s="626"/>
      <c r="M5831" s="291"/>
      <c r="N5831" s="291"/>
      <c r="O5831" s="291"/>
      <c r="P5831" s="291"/>
      <c r="S5831" s="364"/>
      <c r="Z5831" s="609" t="s">
        <v>2182</v>
      </c>
      <c r="AA5831" s="609"/>
    </row>
    <row r="5832" spans="1:27" ht="18">
      <c r="A5832" s="2714"/>
      <c r="B5832" s="371">
        <v>124</v>
      </c>
      <c r="C5832" s="371"/>
      <c r="D5832" s="2716">
        <f t="shared" si="622"/>
        <v>1</v>
      </c>
      <c r="E5832" s="2721">
        <v>0</v>
      </c>
      <c r="F5832" s="294"/>
      <c r="G5832" s="308" t="s">
        <v>4697</v>
      </c>
      <c r="H5832" s="309">
        <f>SUM(H5809:H5831)</f>
        <v>0</v>
      </c>
      <c r="I5832" s="309">
        <f>SUM(I5809:I5831)</f>
        <v>0</v>
      </c>
      <c r="J5832" s="388"/>
      <c r="K5832" s="626"/>
      <c r="M5832" s="291"/>
      <c r="N5832" s="291"/>
      <c r="O5832" s="291"/>
      <c r="P5832" s="291"/>
      <c r="S5832" s="364"/>
      <c r="Z5832" s="609" t="s">
        <v>2182</v>
      </c>
      <c r="AA5832" s="609"/>
    </row>
    <row r="5833" spans="1:27" ht="24">
      <c r="A5833" s="2714"/>
      <c r="B5833" s="371">
        <v>126</v>
      </c>
      <c r="C5833" s="371"/>
      <c r="D5833" s="2716">
        <f t="shared" si="622"/>
        <v>1</v>
      </c>
      <c r="E5833" s="2721">
        <v>-1</v>
      </c>
      <c r="F5833" s="294"/>
      <c r="G5833" s="308" t="s">
        <v>4698</v>
      </c>
      <c r="H5833" s="309"/>
      <c r="I5833" s="309"/>
      <c r="J5833" s="388"/>
      <c r="K5833" s="626"/>
      <c r="M5833" s="291"/>
      <c r="N5833" s="291"/>
      <c r="O5833" s="291"/>
      <c r="P5833" s="291"/>
      <c r="S5833" s="364"/>
      <c r="Z5833" s="609" t="s">
        <v>2182</v>
      </c>
      <c r="AA5833" s="609"/>
    </row>
    <row r="5834" spans="1:27" ht="18">
      <c r="A5834" s="2714"/>
      <c r="B5834" s="371">
        <v>127</v>
      </c>
      <c r="C5834" s="371"/>
      <c r="D5834" s="2716">
        <f t="shared" si="622"/>
        <v>1</v>
      </c>
      <c r="E5834" s="2721">
        <v>0</v>
      </c>
      <c r="F5834" s="294"/>
      <c r="G5834" s="308" t="s">
        <v>4699</v>
      </c>
      <c r="H5834" s="309">
        <f>SUM(H5832,-H5833)</f>
        <v>0</v>
      </c>
      <c r="I5834" s="309">
        <f>SUM(I5832,-I5833)</f>
        <v>0</v>
      </c>
      <c r="J5834" s="388"/>
      <c r="K5834" s="626"/>
      <c r="M5834" s="291"/>
      <c r="N5834" s="291"/>
      <c r="O5834" s="291"/>
      <c r="P5834" s="291"/>
      <c r="S5834" s="364"/>
      <c r="Z5834" s="609" t="s">
        <v>2182</v>
      </c>
      <c r="AA5834" s="609"/>
    </row>
    <row r="5835" spans="1:27" ht="24">
      <c r="A5835" s="2714"/>
      <c r="B5835" s="371">
        <v>128</v>
      </c>
      <c r="C5835" s="371"/>
      <c r="D5835" s="2716">
        <f t="shared" si="622"/>
        <v>1</v>
      </c>
      <c r="E5835" s="2721">
        <v>-1</v>
      </c>
      <c r="F5835" s="294"/>
      <c r="G5835" s="308" t="s">
        <v>4700</v>
      </c>
      <c r="H5835" s="309"/>
      <c r="I5835" s="309"/>
      <c r="J5835" s="388"/>
      <c r="K5835" s="626"/>
      <c r="M5835" s="291"/>
      <c r="N5835" s="291"/>
      <c r="O5835" s="291"/>
      <c r="P5835" s="291"/>
      <c r="S5835" s="364"/>
      <c r="Z5835" s="609" t="s">
        <v>2182</v>
      </c>
      <c r="AA5835" s="609"/>
    </row>
    <row r="5836" spans="1:27" ht="24.75" thickBot="1">
      <c r="A5836" s="2714"/>
      <c r="B5836" s="371"/>
      <c r="C5836" s="371"/>
      <c r="D5836" s="2716">
        <f t="shared" si="622"/>
        <v>1</v>
      </c>
      <c r="E5836" s="2721" t="s">
        <v>3032</v>
      </c>
      <c r="F5836" s="294"/>
      <c r="G5836" s="2234" t="s">
        <v>4701</v>
      </c>
      <c r="H5836" s="2325">
        <f>SUMPRODUCT($E5808:$E5835,H5808:H5835)</f>
        <v>0</v>
      </c>
      <c r="I5836" s="2325">
        <f>SUMPRODUCT($E5808:$E5835,I5808:I5835)</f>
        <v>0</v>
      </c>
      <c r="J5836" s="2505"/>
      <c r="M5836" s="291"/>
      <c r="N5836" s="291"/>
      <c r="O5836" s="291"/>
      <c r="P5836" s="291"/>
      <c r="S5836" s="364"/>
      <c r="Z5836" s="609" t="s">
        <v>2182</v>
      </c>
      <c r="AA5836" s="609"/>
    </row>
    <row r="5837" spans="1:27" ht="18">
      <c r="A5837" s="2714"/>
      <c r="B5837" s="371"/>
      <c r="C5837" s="371" t="s">
        <v>2755</v>
      </c>
      <c r="D5837" s="371"/>
      <c r="F5837" s="294"/>
      <c r="G5837" s="301"/>
      <c r="H5837" s="315"/>
      <c r="I5837" s="315"/>
      <c r="J5837" s="393"/>
      <c r="K5837" s="349"/>
      <c r="L5837" s="350"/>
      <c r="M5837" s="291"/>
      <c r="N5837" s="291"/>
      <c r="O5837" s="291"/>
      <c r="P5837" s="291"/>
      <c r="S5837" s="364"/>
      <c r="Z5837" s="609" t="s">
        <v>2182</v>
      </c>
      <c r="AA5837" s="609"/>
    </row>
    <row r="5838" spans="1:27" ht="60">
      <c r="A5838" s="2714" t="s">
        <v>2187</v>
      </c>
      <c r="B5838" s="371">
        <v>2</v>
      </c>
      <c r="C5838" s="371"/>
      <c r="D5838" s="2716" t="str">
        <f>VLOOKUP($A5838,Sheet_NoteList,2,0)</f>
        <v>将《公开发行证券的公司信息披露解释性公告第1号——非经常性损益》中列举的非经常性损益项目界定为经常性损益的项目及原因</v>
      </c>
      <c r="E5838" s="2716" t="s">
        <v>2742</v>
      </c>
      <c r="F5838" s="294"/>
      <c r="G5838" s="372" t="str">
        <f>"("&amp;B5838&amp;")"&amp;D5838</f>
        <v>(2)将《公开发行证券的公司信息披露解释性公告第1号——非经常性损益》中列举的非经常性损益项目界定为经常性损益的项目及原因</v>
      </c>
      <c r="H5838" s="1517" t="str">
        <f>$A5838</f>
        <v>9601c</v>
      </c>
      <c r="I5838" s="343" t="s">
        <v>2743</v>
      </c>
      <c r="J5838" s="301"/>
      <c r="K5838" s="3081"/>
      <c r="L5838" s="315"/>
      <c r="M5838" s="301"/>
      <c r="N5838" s="3081"/>
      <c r="O5838" s="315"/>
      <c r="P5838" s="301"/>
      <c r="S5838" s="364"/>
      <c r="Z5838" s="609" t="s">
        <v>2182</v>
      </c>
      <c r="AA5838" s="609"/>
    </row>
    <row r="5839" spans="1:27" ht="0.75" customHeight="1" thickBot="1">
      <c r="A5839" s="2714"/>
      <c r="B5839" s="371"/>
      <c r="C5839" s="371"/>
      <c r="D5839" s="371"/>
      <c r="F5839" s="371"/>
      <c r="G5839" s="371" t="s">
        <v>4702</v>
      </c>
      <c r="H5839" s="371" t="s">
        <v>4703</v>
      </c>
      <c r="I5839" s="371" t="s">
        <v>4704</v>
      </c>
      <c r="M5839" s="291"/>
      <c r="N5839" s="291"/>
      <c r="O5839" s="291"/>
      <c r="P5839" s="291"/>
      <c r="S5839" s="364"/>
      <c r="Z5839" s="609" t="s">
        <v>2182</v>
      </c>
      <c r="AA5839" s="609"/>
    </row>
    <row r="5840" spans="1:27" ht="18">
      <c r="A5840" s="2714"/>
      <c r="B5840" s="371"/>
      <c r="C5840" s="371"/>
      <c r="D5840" s="371"/>
      <c r="E5840" s="2716" t="s">
        <v>2749</v>
      </c>
      <c r="F5840" s="294"/>
      <c r="G5840" s="2498" t="s">
        <v>47</v>
      </c>
      <c r="H5840" s="2499" t="s">
        <v>4705</v>
      </c>
      <c r="I5840" s="2500" t="s">
        <v>4660</v>
      </c>
      <c r="J5840" s="355" t="s">
        <v>5353</v>
      </c>
      <c r="M5840" s="291"/>
      <c r="N5840" s="291"/>
      <c r="O5840" s="291"/>
      <c r="P5840" s="291"/>
      <c r="S5840" s="364"/>
      <c r="Z5840" s="609" t="s">
        <v>2182</v>
      </c>
      <c r="AA5840" s="609"/>
    </row>
    <row r="5841" spans="1:27" ht="18">
      <c r="A5841" s="2714"/>
      <c r="B5841" s="371">
        <v>101</v>
      </c>
      <c r="C5841" s="371" t="s">
        <v>2791</v>
      </c>
      <c r="D5841" s="2716">
        <f t="shared" ref="D5841:D5846" si="623">IF(OR(G5841="*",G5841="",G5841=0),0,COUNTIF($G$5841:$G$5846,G5841))</f>
        <v>0</v>
      </c>
      <c r="E5841" s="2721">
        <v>1</v>
      </c>
      <c r="F5841" s="294"/>
      <c r="G5841" s="319" t="s">
        <v>2792</v>
      </c>
      <c r="H5841" s="309"/>
      <c r="I5841" s="388"/>
      <c r="M5841" s="291"/>
      <c r="N5841" s="291"/>
      <c r="O5841" s="291"/>
      <c r="P5841" s="291"/>
      <c r="S5841" s="364"/>
      <c r="Z5841" s="609" t="s">
        <v>2182</v>
      </c>
      <c r="AA5841" s="609"/>
    </row>
    <row r="5842" spans="1:27" ht="18">
      <c r="A5842" s="2714"/>
      <c r="B5842" s="371">
        <v>102</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103</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
      <c r="A5844" s="2714"/>
      <c r="B5844" s="371">
        <v>104</v>
      </c>
      <c r="C5844" s="371" t="s">
        <v>2791</v>
      </c>
      <c r="D5844" s="2716">
        <f t="shared" si="623"/>
        <v>0</v>
      </c>
      <c r="E5844" s="2721">
        <v>1</v>
      </c>
      <c r="F5844" s="294"/>
      <c r="G5844" s="319" t="s">
        <v>2792</v>
      </c>
      <c r="H5844" s="309"/>
      <c r="I5844" s="388"/>
      <c r="M5844" s="291"/>
      <c r="N5844" s="291"/>
      <c r="O5844" s="291"/>
      <c r="P5844" s="291"/>
      <c r="S5844" s="364"/>
      <c r="Z5844" s="609" t="s">
        <v>2182</v>
      </c>
      <c r="AA5844" s="609"/>
    </row>
    <row r="5845" spans="1:27" ht="18">
      <c r="A5845" s="2714"/>
      <c r="B5845" s="371">
        <v>105</v>
      </c>
      <c r="C5845" s="371" t="s">
        <v>2791</v>
      </c>
      <c r="D5845" s="2716">
        <f t="shared" si="623"/>
        <v>0</v>
      </c>
      <c r="E5845" s="2721">
        <v>1</v>
      </c>
      <c r="F5845" s="294"/>
      <c r="G5845" s="319" t="s">
        <v>2792</v>
      </c>
      <c r="H5845" s="309"/>
      <c r="I5845" s="388"/>
      <c r="M5845" s="291"/>
      <c r="N5845" s="291"/>
      <c r="O5845" s="291"/>
      <c r="P5845" s="291"/>
      <c r="S5845" s="364"/>
      <c r="Z5845" s="609" t="s">
        <v>2182</v>
      </c>
      <c r="AA5845" s="609"/>
    </row>
    <row r="5846" spans="1:27" ht="18.75" thickBot="1">
      <c r="A5846" s="2714"/>
      <c r="B5846" s="371"/>
      <c r="C5846" s="371"/>
      <c r="D5846" s="2716">
        <f t="shared" si="623"/>
        <v>1</v>
      </c>
      <c r="E5846" s="2721" t="s">
        <v>3032</v>
      </c>
      <c r="F5846" s="294"/>
      <c r="G5846" s="2506" t="s">
        <v>2752</v>
      </c>
      <c r="H5846" s="2485">
        <f>SUMPRODUCT($E5840:$E5845,H5840:H5845)</f>
        <v>0</v>
      </c>
      <c r="I5846" s="2505"/>
      <c r="M5846" s="291"/>
      <c r="N5846" s="291"/>
      <c r="O5846" s="291"/>
      <c r="P5846" s="291"/>
      <c r="S5846" s="364"/>
      <c r="Z5846" s="609" t="s">
        <v>2182</v>
      </c>
      <c r="AA5846" s="609"/>
    </row>
    <row r="5847" spans="1:27" ht="18">
      <c r="A5847" s="2714"/>
      <c r="B5847" s="371"/>
      <c r="C5847" s="371" t="s">
        <v>2755</v>
      </c>
      <c r="D5847" s="371"/>
      <c r="F5847" s="294"/>
      <c r="G5847" s="301"/>
      <c r="H5847" s="315"/>
      <c r="I5847" s="393"/>
      <c r="J5847" s="349"/>
      <c r="K5847" s="349"/>
      <c r="L5847" s="350"/>
      <c r="M5847" s="291"/>
      <c r="N5847" s="291"/>
      <c r="O5847" s="291"/>
      <c r="P5847" s="291"/>
      <c r="S5847" s="364"/>
      <c r="Z5847" s="609" t="s">
        <v>2182</v>
      </c>
      <c r="AA5847" s="609"/>
    </row>
    <row r="5848" spans="1:27" ht="24">
      <c r="A5848" s="2714" t="s">
        <v>2184</v>
      </c>
      <c r="B5848" s="371">
        <v>3</v>
      </c>
      <c r="C5848" s="371"/>
      <c r="D5848" s="2716" t="str">
        <f>VLOOKUP($A5848,Sheet_NoteList,2,0)</f>
        <v>其他符合非经常性损益定义的损益项目</v>
      </c>
      <c r="E5848" s="2716" t="s">
        <v>6532</v>
      </c>
      <c r="F5848" s="294"/>
      <c r="G5848" s="372" t="str">
        <f>"("&amp;B5848&amp;")"&amp;D5848</f>
        <v>(3)其他符合非经常性损益定义的损益项目</v>
      </c>
      <c r="H5848" s="1517" t="str">
        <f>$A5848</f>
        <v>9601b</v>
      </c>
      <c r="I5848" s="343" t="s">
        <v>5980</v>
      </c>
      <c r="J5848" s="301"/>
      <c r="K5848" s="3081"/>
      <c r="L5848" s="315"/>
      <c r="M5848" s="301"/>
      <c r="N5848" s="3081"/>
      <c r="O5848" s="315"/>
      <c r="P5848" s="301"/>
      <c r="S5848" s="364"/>
      <c r="Z5848" s="609" t="s">
        <v>2182</v>
      </c>
      <c r="AA5848" s="609"/>
    </row>
    <row r="5849" spans="1:27" ht="0.75" customHeight="1" thickBot="1">
      <c r="A5849" s="2714"/>
      <c r="B5849" s="371"/>
      <c r="C5849" s="371"/>
      <c r="D5849" s="371"/>
      <c r="E5849" s="586"/>
      <c r="F5849" s="586"/>
      <c r="G5849" s="586" t="s">
        <v>4706</v>
      </c>
      <c r="H5849" s="371" t="s">
        <v>4703</v>
      </c>
      <c r="I5849" s="371" t="s">
        <v>4704</v>
      </c>
      <c r="M5849" s="291"/>
      <c r="N5849" s="291"/>
      <c r="O5849" s="291"/>
      <c r="P5849" s="291"/>
      <c r="S5849" s="364"/>
      <c r="Z5849" s="609" t="s">
        <v>2182</v>
      </c>
      <c r="AA5849" s="609"/>
    </row>
    <row r="5850" spans="1:27" ht="18">
      <c r="A5850" s="2714"/>
      <c r="B5850" s="371"/>
      <c r="C5850" s="371"/>
      <c r="D5850" s="371"/>
      <c r="E5850" s="586" t="s">
        <v>2749</v>
      </c>
      <c r="F5850" s="363"/>
      <c r="G5850" s="2458" t="s">
        <v>47</v>
      </c>
      <c r="H5850" s="2459" t="s">
        <v>4705</v>
      </c>
      <c r="I5850" s="2460" t="s">
        <v>4660</v>
      </c>
      <c r="M5850" s="291"/>
      <c r="N5850" s="291"/>
      <c r="O5850" s="291"/>
      <c r="P5850" s="291"/>
      <c r="S5850" s="364"/>
      <c r="Z5850" s="609" t="s">
        <v>2182</v>
      </c>
      <c r="AA5850" s="609"/>
    </row>
    <row r="5851" spans="1:27" ht="18">
      <c r="A5851" s="2714"/>
      <c r="B5851" s="371">
        <v>101</v>
      </c>
      <c r="C5851" s="371" t="s">
        <v>2791</v>
      </c>
      <c r="D5851" s="2716">
        <f t="shared" ref="D5851:D5856" si="624">IF(OR(G5851="*",G5851="",G5851=0),0,COUNTIF($G$5851:$G$5856,G5851))</f>
        <v>0</v>
      </c>
      <c r="E5851" s="2721">
        <v>1</v>
      </c>
      <c r="F5851" s="294"/>
      <c r="G5851" s="2467" t="s">
        <v>2792</v>
      </c>
      <c r="H5851" s="2275"/>
      <c r="I5851" s="2276"/>
      <c r="M5851" s="291"/>
      <c r="N5851" s="291"/>
      <c r="O5851" s="291"/>
      <c r="P5851" s="291"/>
      <c r="S5851" s="364"/>
      <c r="Z5851" s="609" t="s">
        <v>2182</v>
      </c>
      <c r="AA5851" s="609"/>
    </row>
    <row r="5852" spans="1:27" ht="18">
      <c r="A5852" s="2714"/>
      <c r="B5852" s="371">
        <v>102</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103</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
      <c r="A5854" s="2714"/>
      <c r="B5854" s="371">
        <v>104</v>
      </c>
      <c r="C5854" s="371" t="s">
        <v>2791</v>
      </c>
      <c r="D5854" s="2716">
        <f t="shared" si="624"/>
        <v>0</v>
      </c>
      <c r="E5854" s="2721">
        <v>1</v>
      </c>
      <c r="F5854" s="294"/>
      <c r="G5854" s="2467" t="s">
        <v>2792</v>
      </c>
      <c r="H5854" s="2275"/>
      <c r="I5854" s="2276"/>
      <c r="M5854" s="291"/>
      <c r="N5854" s="291"/>
      <c r="O5854" s="291"/>
      <c r="P5854" s="291"/>
      <c r="S5854" s="364"/>
      <c r="Z5854" s="609" t="s">
        <v>2182</v>
      </c>
      <c r="AA5854" s="609"/>
    </row>
    <row r="5855" spans="1:27" ht="18">
      <c r="A5855" s="2714"/>
      <c r="B5855" s="371">
        <v>105</v>
      </c>
      <c r="C5855" s="371" t="s">
        <v>2791</v>
      </c>
      <c r="D5855" s="2716">
        <f t="shared" si="624"/>
        <v>0</v>
      </c>
      <c r="E5855" s="2721">
        <v>1</v>
      </c>
      <c r="F5855" s="294"/>
      <c r="G5855" s="2467" t="s">
        <v>2792</v>
      </c>
      <c r="H5855" s="2275"/>
      <c r="I5855" s="2276"/>
      <c r="M5855" s="291"/>
      <c r="N5855" s="291"/>
      <c r="O5855" s="291"/>
      <c r="P5855" s="291"/>
      <c r="S5855" s="364"/>
      <c r="Z5855" s="609" t="s">
        <v>2182</v>
      </c>
      <c r="AA5855" s="609"/>
    </row>
    <row r="5856" spans="1:27" ht="18.75" thickBot="1">
      <c r="A5856" s="2714"/>
      <c r="B5856" s="371"/>
      <c r="C5856" s="371"/>
      <c r="D5856" s="2716">
        <f t="shared" si="624"/>
        <v>1</v>
      </c>
      <c r="E5856" s="2721" t="s">
        <v>3032</v>
      </c>
      <c r="F5856" s="294"/>
      <c r="G5856" s="1529" t="s">
        <v>2752</v>
      </c>
      <c r="H5856" s="1527">
        <f>SUMPRODUCT($E5850:$E5855,H5850:H5855)</f>
        <v>0</v>
      </c>
      <c r="I5856" s="2266"/>
      <c r="M5856" s="291"/>
      <c r="N5856" s="291"/>
      <c r="O5856" s="291"/>
      <c r="P5856" s="291"/>
      <c r="S5856" s="364"/>
      <c r="Z5856" s="609" t="s">
        <v>2182</v>
      </c>
      <c r="AA5856" s="609"/>
    </row>
    <row r="5857" spans="1:27" ht="18">
      <c r="A5857" s="2714"/>
      <c r="B5857" s="371"/>
      <c r="C5857" s="371" t="s">
        <v>2755</v>
      </c>
      <c r="D5857" s="371"/>
      <c r="F5857" s="294"/>
      <c r="G5857" s="301"/>
      <c r="H5857" s="315"/>
      <c r="I5857" s="393"/>
      <c r="J5857" s="349"/>
      <c r="K5857" s="349"/>
      <c r="L5857" s="350"/>
      <c r="M5857" s="291"/>
      <c r="N5857" s="291"/>
      <c r="O5857" s="291"/>
      <c r="P5857" s="291"/>
      <c r="S5857" s="364"/>
      <c r="Z5857" s="609" t="s">
        <v>2182</v>
      </c>
      <c r="AA5857" s="609"/>
    </row>
    <row r="5858" spans="1:27" ht="24">
      <c r="A5858" s="2714" t="s">
        <v>2190</v>
      </c>
      <c r="B5858" s="371">
        <v>4</v>
      </c>
      <c r="C5858" s="371"/>
      <c r="D5858" s="2716" t="str">
        <f>VLOOKUP($A5858,Sheet_NoteList,2,0)</f>
        <v>报告年度不再作为非经常性损益列报的项目</v>
      </c>
      <c r="E5858" s="2716" t="s">
        <v>6532</v>
      </c>
      <c r="F5858" s="294"/>
      <c r="G5858" s="372" t="str">
        <f>"("&amp;B5858&amp;")"&amp;D5858</f>
        <v>(4)报告年度不再作为非经常性损益列报的项目</v>
      </c>
      <c r="H5858" s="1517" t="str">
        <f>$A5858</f>
        <v>9601d</v>
      </c>
      <c r="I5858" s="343" t="s">
        <v>5977</v>
      </c>
      <c r="J5858" s="301"/>
      <c r="K5858" s="3081"/>
      <c r="L5858" s="315"/>
      <c r="M5858" s="301"/>
      <c r="N5858" s="3081"/>
      <c r="O5858" s="315"/>
      <c r="P5858" s="301"/>
      <c r="S5858" s="364"/>
      <c r="Z5858" s="609" t="s">
        <v>2182</v>
      </c>
      <c r="AA5858" s="609"/>
    </row>
    <row r="5859" spans="1:27" ht="0.75" customHeight="1" thickBot="1">
      <c r="A5859" s="2714"/>
      <c r="B5859" s="371"/>
      <c r="C5859" s="371"/>
      <c r="D5859" s="371"/>
      <c r="E5859" s="586"/>
      <c r="F5859" s="586"/>
      <c r="G5859" s="586" t="s">
        <v>4707</v>
      </c>
      <c r="H5859" s="371" t="s">
        <v>4703</v>
      </c>
      <c r="I5859" s="371" t="s">
        <v>4704</v>
      </c>
      <c r="M5859" s="291"/>
      <c r="N5859" s="291"/>
      <c r="O5859" s="291"/>
      <c r="P5859" s="291"/>
      <c r="S5859" s="364"/>
      <c r="Z5859" s="609" t="s">
        <v>2182</v>
      </c>
      <c r="AA5859" s="609"/>
    </row>
    <row r="5860" spans="1:27" ht="18">
      <c r="A5860" s="2714"/>
      <c r="B5860" s="371"/>
      <c r="C5860" s="371"/>
      <c r="D5860" s="371"/>
      <c r="E5860" s="586" t="s">
        <v>2749</v>
      </c>
      <c r="F5860" s="363"/>
      <c r="G5860" s="2458" t="s">
        <v>47</v>
      </c>
      <c r="H5860" s="2459" t="s">
        <v>4705</v>
      </c>
      <c r="I5860" s="2460" t="s">
        <v>4660</v>
      </c>
      <c r="M5860" s="291"/>
      <c r="N5860" s="291"/>
      <c r="O5860" s="291"/>
      <c r="P5860" s="291"/>
      <c r="S5860" s="364"/>
      <c r="Z5860" s="609" t="s">
        <v>2182</v>
      </c>
      <c r="AA5860" s="609"/>
    </row>
    <row r="5861" spans="1:27" ht="18">
      <c r="A5861" s="2714"/>
      <c r="B5861" s="371">
        <v>101</v>
      </c>
      <c r="C5861" s="371" t="s">
        <v>2791</v>
      </c>
      <c r="D5861" s="2716">
        <f t="shared" ref="D5861:D5866" si="625">IF(OR(G5861="*",G5861="",G5861=0),0,COUNTIF($G$5861:$G$5866,G5861))</f>
        <v>0</v>
      </c>
      <c r="E5861" s="2721">
        <v>1</v>
      </c>
      <c r="F5861" s="294"/>
      <c r="G5861" s="2467" t="s">
        <v>2792</v>
      </c>
      <c r="H5861" s="2275"/>
      <c r="I5861" s="2276"/>
      <c r="M5861" s="291"/>
      <c r="N5861" s="291"/>
      <c r="O5861" s="291"/>
      <c r="P5861" s="291"/>
      <c r="S5861" s="364"/>
      <c r="Z5861" s="609" t="s">
        <v>2182</v>
      </c>
      <c r="AA5861" s="609"/>
    </row>
    <row r="5862" spans="1:27" ht="18">
      <c r="A5862" s="2714"/>
      <c r="B5862" s="371">
        <v>102</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103</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
      <c r="A5864" s="2714"/>
      <c r="B5864" s="371">
        <v>104</v>
      </c>
      <c r="C5864" s="371" t="s">
        <v>2791</v>
      </c>
      <c r="D5864" s="2716">
        <f t="shared" si="625"/>
        <v>0</v>
      </c>
      <c r="E5864" s="2721">
        <v>1</v>
      </c>
      <c r="F5864" s="294"/>
      <c r="G5864" s="2467" t="s">
        <v>2792</v>
      </c>
      <c r="H5864" s="2275"/>
      <c r="I5864" s="2276"/>
      <c r="M5864" s="291"/>
      <c r="N5864" s="291"/>
      <c r="O5864" s="291"/>
      <c r="P5864" s="291"/>
      <c r="S5864" s="364"/>
      <c r="Z5864" s="609" t="s">
        <v>2182</v>
      </c>
      <c r="AA5864" s="609"/>
    </row>
    <row r="5865" spans="1:27" ht="18">
      <c r="A5865" s="2714"/>
      <c r="B5865" s="371">
        <v>105</v>
      </c>
      <c r="C5865" s="371" t="s">
        <v>2791</v>
      </c>
      <c r="D5865" s="2716">
        <f t="shared" si="625"/>
        <v>0</v>
      </c>
      <c r="E5865" s="2721">
        <v>1</v>
      </c>
      <c r="F5865" s="294"/>
      <c r="G5865" s="2467" t="s">
        <v>2792</v>
      </c>
      <c r="H5865" s="2275"/>
      <c r="I5865" s="2276"/>
      <c r="M5865" s="291"/>
      <c r="N5865" s="291"/>
      <c r="O5865" s="291"/>
      <c r="P5865" s="291"/>
      <c r="S5865" s="364"/>
      <c r="Z5865" s="609" t="s">
        <v>2182</v>
      </c>
      <c r="AA5865" s="609"/>
    </row>
    <row r="5866" spans="1:27" ht="18.75" thickBot="1">
      <c r="A5866" s="2714"/>
      <c r="B5866" s="371"/>
      <c r="C5866" s="371"/>
      <c r="D5866" s="2716">
        <f t="shared" si="625"/>
        <v>1</v>
      </c>
      <c r="E5866" s="2721" t="s">
        <v>3032</v>
      </c>
      <c r="F5866" s="294"/>
      <c r="G5866" s="1529" t="s">
        <v>2752</v>
      </c>
      <c r="H5866" s="1527">
        <f>SUMPRODUCT($E5860:$E5865,H5860:H5865)</f>
        <v>0</v>
      </c>
      <c r="I5866" s="2266"/>
      <c r="M5866" s="291"/>
      <c r="N5866" s="291"/>
      <c r="O5866" s="291"/>
      <c r="P5866" s="291"/>
      <c r="S5866" s="364"/>
      <c r="Z5866" s="609" t="s">
        <v>2182</v>
      </c>
      <c r="AA5866" s="609"/>
    </row>
    <row r="5867" spans="1:27" ht="18.75" thickBot="1">
      <c r="A5867" s="2714"/>
      <c r="B5867" s="371"/>
      <c r="C5867" s="371" t="s">
        <v>2755</v>
      </c>
      <c r="D5867" s="371"/>
      <c r="F5867" s="294"/>
      <c r="G5867" s="301"/>
      <c r="H5867" s="315"/>
      <c r="I5867" s="393"/>
      <c r="J5867" s="349"/>
      <c r="K5867" s="349"/>
      <c r="L5867" s="350"/>
      <c r="M5867" s="291"/>
      <c r="N5867" s="291"/>
      <c r="O5867" s="291"/>
      <c r="P5867" s="291"/>
      <c r="S5867" s="364"/>
      <c r="Z5867" s="609" t="s">
        <v>2182</v>
      </c>
      <c r="AA5867" s="609"/>
    </row>
    <row r="5868" spans="1:27" ht="18.75" thickBot="1">
      <c r="A5868" s="2714"/>
      <c r="B5868" s="371"/>
      <c r="C5868" s="371"/>
      <c r="D5868" s="371"/>
      <c r="F5868" s="294"/>
      <c r="G5868" s="627" t="s">
        <v>4708</v>
      </c>
      <c r="H5868" s="628" t="s">
        <v>4709</v>
      </c>
      <c r="I5868" s="629"/>
      <c r="J5868" s="630"/>
      <c r="K5868" s="630"/>
      <c r="L5868" s="630"/>
      <c r="M5868" s="630"/>
      <c r="N5868" s="631"/>
      <c r="S5868" s="364"/>
      <c r="Z5868" s="609" t="s">
        <v>4710</v>
      </c>
      <c r="AA5868" s="609"/>
    </row>
    <row r="5869" spans="1:27" ht="18">
      <c r="A5869" s="2714">
        <v>7001</v>
      </c>
      <c r="B5869" s="371">
        <v>78.709999999999994</v>
      </c>
      <c r="C5869" s="2716" t="str">
        <f>VLOOKUP($A5869,Sheet_Items,2,0)</f>
        <v>销售商品提供劳务收到的现金</v>
      </c>
      <c r="D5869" s="371"/>
      <c r="E5869" s="2716" t="s">
        <v>2739</v>
      </c>
      <c r="F5869" s="294"/>
      <c r="G5869" s="536" t="str">
        <f>B5869&amp;" "&amp;C5869</f>
        <v>78.71 销售商品提供劳务收到的现金</v>
      </c>
      <c r="H5869" s="322"/>
      <c r="I5869" s="322"/>
      <c r="J5869" s="306" t="s">
        <v>4206</v>
      </c>
      <c r="K5869" s="341">
        <f>VLOOKUP($A5869,Sheet_Trialbal,6,0)</f>
        <v>3423319.05</v>
      </c>
      <c r="L5869" s="342"/>
      <c r="M5869" s="306"/>
      <c r="N5869" s="341"/>
      <c r="O5869" s="306"/>
      <c r="P5869" s="301"/>
      <c r="S5869" s="364"/>
      <c r="Z5869" s="609" t="s">
        <v>4711</v>
      </c>
      <c r="AA5869" s="609"/>
    </row>
    <row r="5870" spans="1:27" ht="24">
      <c r="A5870" s="2714" t="s">
        <v>1944</v>
      </c>
      <c r="B5870" s="371">
        <v>1</v>
      </c>
      <c r="C5870" s="371"/>
      <c r="D5870" s="2716" t="str">
        <f>VLOOKUP($A5870,Sheet_NoteList,2,0)</f>
        <v>销售商品提供劳务收到的现金计算表</v>
      </c>
      <c r="E5870" s="2716" t="s">
        <v>2742</v>
      </c>
      <c r="F5870" s="294"/>
      <c r="G5870" s="483" t="str">
        <f>"("&amp;B5870&amp;")"&amp;D5870</f>
        <v>(1)销售商品提供劳务收到的现金计算表</v>
      </c>
      <c r="H5870" s="1517" t="str">
        <f>$A5870</f>
        <v>7001x</v>
      </c>
      <c r="I5870" s="343" t="s">
        <v>2743</v>
      </c>
      <c r="J5870" s="301" t="s">
        <v>4712</v>
      </c>
      <c r="K5870" s="2210">
        <f>I5878</f>
        <v>0</v>
      </c>
      <c r="L5870" s="345">
        <f>IF(ROUND(K5869-K5870,2)=0,"F/S",ROUND(K5869-K5870,2))</f>
        <v>3423319.05</v>
      </c>
      <c r="M5870" s="532" t="s">
        <v>4713</v>
      </c>
      <c r="N5870" s="3081"/>
      <c r="O5870" s="315"/>
      <c r="P5870" s="301"/>
      <c r="S5870" s="364"/>
      <c r="Z5870" s="609" t="s">
        <v>4711</v>
      </c>
      <c r="AA5870" s="609"/>
    </row>
    <row r="5871" spans="1:27" ht="0.75" customHeight="1" thickBot="1">
      <c r="A5871" s="2714"/>
      <c r="B5871" s="371"/>
      <c r="C5871" s="371"/>
      <c r="D5871" s="371"/>
      <c r="F5871" s="371"/>
      <c r="G5871" s="371" t="s">
        <v>4714</v>
      </c>
      <c r="H5871" s="371" t="s">
        <v>4715</v>
      </c>
      <c r="I5871" s="371" t="s">
        <v>4716</v>
      </c>
      <c r="J5871" s="371" t="s">
        <v>3671</v>
      </c>
      <c r="K5871" s="291"/>
      <c r="L5871" s="291"/>
      <c r="M5871" s="291"/>
      <c r="S5871" s="364"/>
      <c r="Z5871" s="609" t="s">
        <v>4711</v>
      </c>
      <c r="AA5871" s="609"/>
    </row>
    <row r="5872" spans="1:27" ht="18">
      <c r="A5872" s="2714"/>
      <c r="B5872" s="371"/>
      <c r="C5872" s="371"/>
      <c r="D5872" s="371"/>
      <c r="E5872" s="2716" t="s">
        <v>2749</v>
      </c>
      <c r="F5872" s="294"/>
      <c r="G5872" s="1564" t="s">
        <v>47</v>
      </c>
      <c r="H5872" s="1565" t="s">
        <v>4717</v>
      </c>
      <c r="I5872" s="1565" t="s">
        <v>2887</v>
      </c>
      <c r="J5872" s="1566" t="s">
        <v>2758</v>
      </c>
      <c r="K5872" s="575"/>
      <c r="L5872" s="291"/>
      <c r="M5872" s="291"/>
      <c r="S5872" s="364"/>
      <c r="Z5872" s="609" t="s">
        <v>4711</v>
      </c>
      <c r="AA5872" s="609"/>
    </row>
    <row r="5873" spans="1:27" ht="18">
      <c r="A5873" s="2714"/>
      <c r="B5873" s="371">
        <v>101</v>
      </c>
      <c r="C5873" s="371" t="s">
        <v>2791</v>
      </c>
      <c r="D5873" s="2716">
        <f t="shared" ref="D5873:D5878" si="626">IF(OR(G5873="*",G5873="",G5873=0),0,COUNTIF($G$5873:$G$5878,G5873))</f>
        <v>0</v>
      </c>
      <c r="E5873" s="2721">
        <v>1</v>
      </c>
      <c r="F5873" s="294"/>
      <c r="G5873" s="1563" t="s">
        <v>2792</v>
      </c>
      <c r="H5873" s="360"/>
      <c r="I5873" s="309"/>
      <c r="J5873" s="388"/>
      <c r="K5873" s="291"/>
      <c r="L5873" s="291"/>
      <c r="M5873" s="291"/>
      <c r="S5873" s="364"/>
      <c r="Z5873" s="609" t="s">
        <v>4711</v>
      </c>
      <c r="AA5873" s="609"/>
    </row>
    <row r="5874" spans="1:27" ht="18">
      <c r="A5874" s="2714"/>
      <c r="B5874" s="371">
        <v>102</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103</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
      <c r="A5876" s="2714"/>
      <c r="B5876" s="371">
        <v>104</v>
      </c>
      <c r="C5876" s="371" t="s">
        <v>2791</v>
      </c>
      <c r="D5876" s="2716">
        <f t="shared" si="626"/>
        <v>0</v>
      </c>
      <c r="E5876" s="2721">
        <v>1</v>
      </c>
      <c r="F5876" s="294"/>
      <c r="G5876" s="1563" t="s">
        <v>2792</v>
      </c>
      <c r="H5876" s="360"/>
      <c r="I5876" s="309"/>
      <c r="J5876" s="388"/>
      <c r="K5876" s="291"/>
      <c r="L5876" s="291"/>
      <c r="M5876" s="291"/>
      <c r="S5876" s="364"/>
      <c r="Z5876" s="609" t="s">
        <v>4711</v>
      </c>
      <c r="AA5876" s="609"/>
    </row>
    <row r="5877" spans="1:27" ht="18">
      <c r="A5877" s="2714"/>
      <c r="B5877" s="371">
        <v>105</v>
      </c>
      <c r="C5877" s="371" t="s">
        <v>2791</v>
      </c>
      <c r="D5877" s="2716">
        <f t="shared" si="626"/>
        <v>0</v>
      </c>
      <c r="E5877" s="2721">
        <v>1</v>
      </c>
      <c r="F5877" s="294"/>
      <c r="G5877" s="1563" t="s">
        <v>2792</v>
      </c>
      <c r="H5877" s="360"/>
      <c r="I5877" s="309"/>
      <c r="J5877" s="388"/>
      <c r="K5877" s="291"/>
      <c r="L5877" s="291"/>
      <c r="M5877" s="291"/>
      <c r="S5877" s="364"/>
      <c r="Z5877" s="609" t="s">
        <v>4711</v>
      </c>
      <c r="AA5877" s="609"/>
    </row>
    <row r="5878" spans="1:27" ht="18.75" thickBot="1">
      <c r="A5878" s="2714"/>
      <c r="B5878" s="371"/>
      <c r="C5878" s="371"/>
      <c r="D5878" s="2716">
        <f t="shared" si="626"/>
        <v>1</v>
      </c>
      <c r="E5878" s="2721" t="s">
        <v>2751</v>
      </c>
      <c r="F5878" s="294"/>
      <c r="G5878" s="1529" t="s">
        <v>2752</v>
      </c>
      <c r="H5878" s="1570"/>
      <c r="I5878" s="1527">
        <f>SUMPRODUCT($E5872:$E5877,I5872:I5877)</f>
        <v>0</v>
      </c>
      <c r="J5878" s="1571"/>
      <c r="K5878" s="291"/>
      <c r="L5878" s="291"/>
      <c r="M5878" s="291"/>
      <c r="S5878" s="364"/>
      <c r="Z5878" s="609" t="s">
        <v>4711</v>
      </c>
      <c r="AA5878" s="609"/>
    </row>
    <row r="5879" spans="1:27" ht="18">
      <c r="A5879" s="2714"/>
      <c r="B5879" s="371"/>
      <c r="C5879" s="371" t="s">
        <v>2755</v>
      </c>
      <c r="D5879" s="371"/>
      <c r="F5879" s="294"/>
      <c r="G5879" s="301"/>
      <c r="H5879" s="393"/>
      <c r="I5879" s="315"/>
      <c r="J5879" s="393"/>
      <c r="K5879" s="291"/>
      <c r="L5879" s="291"/>
      <c r="M5879" s="291"/>
      <c r="S5879" s="364"/>
      <c r="Z5879" s="609" t="s">
        <v>4711</v>
      </c>
      <c r="AA5879" s="609"/>
    </row>
    <row r="5880" spans="1:27" ht="18">
      <c r="A5880" s="2714">
        <v>7046</v>
      </c>
      <c r="B5880" s="371">
        <v>78.099999999999994</v>
      </c>
      <c r="C5880" s="2716" t="str">
        <f>VLOOKUP($A5880,Sheet_Items,2,0)</f>
        <v>收到其他与经营活动有关的现金</v>
      </c>
      <c r="D5880" s="371"/>
      <c r="E5880" s="2716" t="s">
        <v>2739</v>
      </c>
      <c r="F5880" s="294"/>
      <c r="G5880" s="536" t="str">
        <f>B5880&amp;" "&amp;C5880</f>
        <v>78.1 收到其他与经营活动有关的现金</v>
      </c>
      <c r="H5880" s="322"/>
      <c r="I5880" s="322"/>
      <c r="J5880" s="306" t="s">
        <v>4206</v>
      </c>
      <c r="K5880" s="341">
        <f>VLOOKUP($A5880,Sheet_Trialbal,6,0)</f>
        <v>120871.54</v>
      </c>
      <c r="L5880" s="342"/>
      <c r="M5880" s="306"/>
      <c r="N5880" s="341"/>
      <c r="O5880" s="306"/>
      <c r="P5880" s="301"/>
      <c r="S5880" s="364"/>
      <c r="Z5880" s="609" t="s">
        <v>4384</v>
      </c>
      <c r="AA5880" s="609"/>
    </row>
    <row r="5881" spans="1:27" ht="24">
      <c r="A5881" s="2714" t="s">
        <v>1948</v>
      </c>
      <c r="B5881" s="371">
        <v>1</v>
      </c>
      <c r="C5881" s="371"/>
      <c r="D5881" s="2716" t="str">
        <f>VLOOKUP($A5881,Sheet_NoteList,2,0)</f>
        <v>收到其他与经营活动有关的现金计算表</v>
      </c>
      <c r="E5881" s="2716" t="s">
        <v>2742</v>
      </c>
      <c r="F5881" s="294"/>
      <c r="G5881" s="483" t="str">
        <f>"("&amp;B5881&amp;")"&amp;D5881</f>
        <v>(1)收到其他与经营活动有关的现金计算表</v>
      </c>
      <c r="H5881" s="1517" t="str">
        <f>$A5881</f>
        <v>7046x</v>
      </c>
      <c r="I5881" s="343" t="s">
        <v>2743</v>
      </c>
      <c r="J5881" s="301" t="s">
        <v>4712</v>
      </c>
      <c r="K5881" s="2210">
        <f>I5889</f>
        <v>0</v>
      </c>
      <c r="L5881" s="345">
        <f>IF(ROUND(K5880-K5881,2)=0,"F/S",ROUND(K5880-K5881,2))</f>
        <v>120871.54</v>
      </c>
      <c r="M5881" s="532" t="s">
        <v>4713</v>
      </c>
      <c r="N5881" s="3081"/>
      <c r="O5881" s="315"/>
      <c r="P5881" s="301"/>
      <c r="S5881" s="364"/>
      <c r="Z5881" s="609" t="s">
        <v>4384</v>
      </c>
      <c r="AA5881" s="609"/>
    </row>
    <row r="5882" spans="1:27" ht="0.75" customHeight="1" thickBot="1">
      <c r="A5882" s="2714"/>
      <c r="B5882" s="371"/>
      <c r="C5882" s="371"/>
      <c r="D5882" s="371"/>
      <c r="F5882" s="371"/>
      <c r="G5882" s="371" t="s">
        <v>4718</v>
      </c>
      <c r="H5882" s="371" t="s">
        <v>4715</v>
      </c>
      <c r="I5882" s="371" t="s">
        <v>4716</v>
      </c>
      <c r="J5882" s="371" t="s">
        <v>3671</v>
      </c>
      <c r="K5882" s="291"/>
      <c r="L5882" s="291"/>
      <c r="M5882" s="291"/>
      <c r="S5882" s="364"/>
      <c r="Z5882" s="609" t="s">
        <v>4384</v>
      </c>
      <c r="AA5882" s="609"/>
    </row>
    <row r="5883" spans="1:27" ht="18">
      <c r="A5883" s="2714"/>
      <c r="B5883" s="371"/>
      <c r="C5883" s="371"/>
      <c r="D5883" s="371"/>
      <c r="E5883" s="2716" t="s">
        <v>2749</v>
      </c>
      <c r="F5883" s="294"/>
      <c r="G5883" s="1564" t="s">
        <v>47</v>
      </c>
      <c r="H5883" s="1565" t="s">
        <v>4717</v>
      </c>
      <c r="I5883" s="1565" t="s">
        <v>2887</v>
      </c>
      <c r="J5883" s="1566" t="s">
        <v>2758</v>
      </c>
      <c r="K5883" s="291"/>
      <c r="L5883" s="291"/>
      <c r="M5883" s="291"/>
      <c r="S5883" s="364"/>
      <c r="Z5883" s="609" t="s">
        <v>4384</v>
      </c>
      <c r="AA5883" s="609"/>
    </row>
    <row r="5884" spans="1:27" ht="18">
      <c r="A5884" s="2714"/>
      <c r="B5884" s="371">
        <v>101</v>
      </c>
      <c r="C5884" s="371" t="s">
        <v>2791</v>
      </c>
      <c r="D5884" s="2716">
        <f t="shared" ref="D5884:D5889" si="627">IF(OR(G5884="*",G5884="",G5884=0),0,COUNTIF($G$5884:$G$5889,G5884))</f>
        <v>0</v>
      </c>
      <c r="E5884" s="2721">
        <v>1</v>
      </c>
      <c r="F5884" s="294"/>
      <c r="G5884" s="1563" t="s">
        <v>2792</v>
      </c>
      <c r="H5884" s="360"/>
      <c r="I5884" s="309"/>
      <c r="J5884" s="388"/>
      <c r="K5884" s="291"/>
      <c r="L5884" s="291"/>
      <c r="M5884" s="291"/>
      <c r="S5884" s="364"/>
      <c r="Z5884" s="609" t="s">
        <v>4384</v>
      </c>
      <c r="AA5884" s="609"/>
    </row>
    <row r="5885" spans="1:27" ht="18">
      <c r="A5885" s="2714"/>
      <c r="B5885" s="371">
        <v>102</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103</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
      <c r="A5887" s="2714"/>
      <c r="B5887" s="371">
        <v>104</v>
      </c>
      <c r="C5887" s="371" t="s">
        <v>2791</v>
      </c>
      <c r="D5887" s="2716">
        <f t="shared" si="627"/>
        <v>0</v>
      </c>
      <c r="E5887" s="2721">
        <v>1</v>
      </c>
      <c r="F5887" s="294"/>
      <c r="G5887" s="1563" t="s">
        <v>2792</v>
      </c>
      <c r="H5887" s="360"/>
      <c r="I5887" s="309"/>
      <c r="J5887" s="388"/>
      <c r="K5887" s="291"/>
      <c r="L5887" s="291"/>
      <c r="M5887" s="291"/>
      <c r="S5887" s="364"/>
      <c r="Z5887" s="609" t="s">
        <v>4384</v>
      </c>
      <c r="AA5887" s="609"/>
    </row>
    <row r="5888" spans="1:27" ht="18">
      <c r="A5888" s="2714"/>
      <c r="B5888" s="371">
        <v>105</v>
      </c>
      <c r="C5888" s="371" t="s">
        <v>2791</v>
      </c>
      <c r="D5888" s="2716">
        <f t="shared" si="627"/>
        <v>0</v>
      </c>
      <c r="E5888" s="2721">
        <v>1</v>
      </c>
      <c r="F5888" s="294"/>
      <c r="G5888" s="1563" t="s">
        <v>2792</v>
      </c>
      <c r="H5888" s="360"/>
      <c r="I5888" s="309"/>
      <c r="J5888" s="388"/>
      <c r="K5888" s="291"/>
      <c r="L5888" s="291"/>
      <c r="M5888" s="291"/>
      <c r="S5888" s="364"/>
      <c r="Z5888" s="609" t="s">
        <v>4384</v>
      </c>
      <c r="AA5888" s="609"/>
    </row>
    <row r="5889" spans="1:27" ht="18.75" thickBot="1">
      <c r="A5889" s="2714"/>
      <c r="B5889" s="371"/>
      <c r="C5889" s="371"/>
      <c r="D5889" s="2716">
        <f t="shared" si="627"/>
        <v>1</v>
      </c>
      <c r="E5889" s="2721" t="s">
        <v>2751</v>
      </c>
      <c r="F5889" s="294"/>
      <c r="G5889" s="1529" t="s">
        <v>2752</v>
      </c>
      <c r="H5889" s="1570"/>
      <c r="I5889" s="1527">
        <f>SUMPRODUCT($E5883:$E5888,I5883:I5888)</f>
        <v>0</v>
      </c>
      <c r="J5889" s="1571"/>
      <c r="K5889" s="291"/>
      <c r="L5889" s="291"/>
      <c r="M5889" s="291"/>
      <c r="S5889" s="364"/>
      <c r="Z5889" s="609" t="s">
        <v>4384</v>
      </c>
      <c r="AA5889" s="609"/>
    </row>
    <row r="5890" spans="1:27" ht="18">
      <c r="A5890" s="2714"/>
      <c r="B5890" s="371"/>
      <c r="C5890" s="371" t="s">
        <v>2755</v>
      </c>
      <c r="D5890" s="371"/>
      <c r="F5890" s="294"/>
      <c r="G5890" s="301"/>
      <c r="H5890" s="393"/>
      <c r="I5890" s="315"/>
      <c r="J5890" s="393"/>
      <c r="K5890" s="291"/>
      <c r="L5890" s="291"/>
      <c r="M5890" s="291"/>
      <c r="S5890" s="364"/>
      <c r="Z5890" s="609" t="s">
        <v>4384</v>
      </c>
      <c r="AA5890" s="609"/>
    </row>
    <row r="5891" spans="1:27" ht="18">
      <c r="A5891" s="2714">
        <v>7051</v>
      </c>
      <c r="B5891" s="371">
        <v>78.72</v>
      </c>
      <c r="C5891" s="2716" t="str">
        <f>VLOOKUP($A5891,Sheet_Items,2,0)</f>
        <v>购买商品接受劳务支付的现金</v>
      </c>
      <c r="D5891" s="371"/>
      <c r="E5891" s="2716" t="s">
        <v>2739</v>
      </c>
      <c r="F5891" s="294"/>
      <c r="G5891" s="536" t="str">
        <f>B5891&amp;" "&amp;C5891</f>
        <v>78.72 购买商品接受劳务支付的现金</v>
      </c>
      <c r="H5891" s="322"/>
      <c r="I5891" s="322"/>
      <c r="J5891" s="306" t="s">
        <v>4206</v>
      </c>
      <c r="K5891" s="341">
        <f>VLOOKUP($A5891,Sheet_Trialbal,6,0)</f>
        <v>281714.11</v>
      </c>
      <c r="L5891" s="342"/>
      <c r="M5891" s="306"/>
      <c r="N5891" s="341"/>
      <c r="O5891" s="306"/>
      <c r="P5891" s="301"/>
      <c r="S5891" s="364"/>
      <c r="Z5891" s="609" t="s">
        <v>4719</v>
      </c>
      <c r="AA5891" s="609"/>
    </row>
    <row r="5892" spans="1:27" ht="24">
      <c r="A5892" s="2714" t="s">
        <v>1951</v>
      </c>
      <c r="B5892" s="371">
        <v>1</v>
      </c>
      <c r="C5892" s="371"/>
      <c r="D5892" s="2716" t="str">
        <f>VLOOKUP($A5892,Sheet_NoteList,2,0)</f>
        <v>购买商品接受劳务支付的现金计算表</v>
      </c>
      <c r="E5892" s="2716" t="s">
        <v>2742</v>
      </c>
      <c r="F5892" s="294"/>
      <c r="G5892" s="483" t="str">
        <f>"("&amp;B5892&amp;")"&amp;D5892</f>
        <v>(1)购买商品接受劳务支付的现金计算表</v>
      </c>
      <c r="H5892" s="1517" t="str">
        <f>$A5892</f>
        <v>7051x</v>
      </c>
      <c r="I5892" s="343" t="s">
        <v>2743</v>
      </c>
      <c r="J5892" s="301" t="s">
        <v>4712</v>
      </c>
      <c r="K5892" s="2210">
        <f>I5900</f>
        <v>0</v>
      </c>
      <c r="L5892" s="345">
        <f>IF(ROUND(K5891-K5892,2)=0,"F/S",ROUND(K5891-K5892,2))</f>
        <v>281714.11</v>
      </c>
      <c r="M5892" s="532" t="s">
        <v>4713</v>
      </c>
      <c r="N5892" s="3081"/>
      <c r="O5892" s="315"/>
      <c r="P5892" s="301"/>
      <c r="S5892" s="364"/>
      <c r="Z5892" s="609" t="s">
        <v>4719</v>
      </c>
      <c r="AA5892" s="609"/>
    </row>
    <row r="5893" spans="1:27" ht="0.75" customHeight="1" thickBot="1">
      <c r="A5893" s="2714"/>
      <c r="B5893" s="371"/>
      <c r="C5893" s="371"/>
      <c r="D5893" s="371"/>
      <c r="F5893" s="371"/>
      <c r="G5893" s="371" t="s">
        <v>4720</v>
      </c>
      <c r="H5893" s="371" t="s">
        <v>4715</v>
      </c>
      <c r="I5893" s="371" t="s">
        <v>4716</v>
      </c>
      <c r="J5893" s="371" t="s">
        <v>3671</v>
      </c>
      <c r="K5893" s="291"/>
      <c r="L5893" s="291"/>
      <c r="M5893" s="291"/>
      <c r="S5893" s="364"/>
      <c r="Z5893" s="609" t="s">
        <v>4719</v>
      </c>
      <c r="AA5893" s="609"/>
    </row>
    <row r="5894" spans="1:27" ht="18">
      <c r="A5894" s="2714"/>
      <c r="B5894" s="371"/>
      <c r="C5894" s="371"/>
      <c r="D5894" s="371"/>
      <c r="E5894" s="2716" t="s">
        <v>2749</v>
      </c>
      <c r="F5894" s="294"/>
      <c r="G5894" s="1564" t="s">
        <v>47</v>
      </c>
      <c r="H5894" s="1565" t="s">
        <v>4717</v>
      </c>
      <c r="I5894" s="1565" t="s">
        <v>2887</v>
      </c>
      <c r="J5894" s="1566" t="s">
        <v>2758</v>
      </c>
      <c r="K5894" s="291"/>
      <c r="L5894" s="291"/>
      <c r="M5894" s="291"/>
      <c r="S5894" s="364"/>
      <c r="Z5894" s="609" t="s">
        <v>4719</v>
      </c>
      <c r="AA5894" s="609"/>
    </row>
    <row r="5895" spans="1:27" ht="18">
      <c r="A5895" s="2714"/>
      <c r="B5895" s="371">
        <v>101</v>
      </c>
      <c r="C5895" s="371" t="s">
        <v>2791</v>
      </c>
      <c r="D5895" s="2716">
        <f t="shared" ref="D5895:D5900" si="628">IF(OR(G5895="*",G5895="",G5895=0),0,COUNTIF($G$5895:$G$5900,G5895))</f>
        <v>0</v>
      </c>
      <c r="E5895" s="2721">
        <v>1</v>
      </c>
      <c r="F5895" s="294"/>
      <c r="G5895" s="1563" t="s">
        <v>2792</v>
      </c>
      <c r="H5895" s="360"/>
      <c r="I5895" s="309"/>
      <c r="J5895" s="388"/>
      <c r="K5895" s="291"/>
      <c r="L5895" s="291"/>
      <c r="M5895" s="291"/>
      <c r="S5895" s="364"/>
      <c r="Z5895" s="609" t="s">
        <v>4719</v>
      </c>
      <c r="AA5895" s="609"/>
    </row>
    <row r="5896" spans="1:27" ht="18">
      <c r="A5896" s="2714"/>
      <c r="B5896" s="371">
        <v>102</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103</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
      <c r="A5898" s="2714"/>
      <c r="B5898" s="371">
        <v>104</v>
      </c>
      <c r="C5898" s="371" t="s">
        <v>2791</v>
      </c>
      <c r="D5898" s="2716">
        <f t="shared" si="628"/>
        <v>0</v>
      </c>
      <c r="E5898" s="2721">
        <v>1</v>
      </c>
      <c r="F5898" s="294"/>
      <c r="G5898" s="1563" t="s">
        <v>2792</v>
      </c>
      <c r="H5898" s="360"/>
      <c r="I5898" s="309"/>
      <c r="J5898" s="388"/>
      <c r="K5898" s="291"/>
      <c r="L5898" s="291"/>
      <c r="M5898" s="291"/>
      <c r="S5898" s="364"/>
      <c r="Z5898" s="609" t="s">
        <v>4719</v>
      </c>
      <c r="AA5898" s="609"/>
    </row>
    <row r="5899" spans="1:27" ht="18">
      <c r="A5899" s="2714"/>
      <c r="B5899" s="371">
        <v>105</v>
      </c>
      <c r="C5899" s="371" t="s">
        <v>2791</v>
      </c>
      <c r="D5899" s="2716">
        <f t="shared" si="628"/>
        <v>0</v>
      </c>
      <c r="E5899" s="2721">
        <v>1</v>
      </c>
      <c r="F5899" s="294"/>
      <c r="G5899" s="1563" t="s">
        <v>2792</v>
      </c>
      <c r="H5899" s="360"/>
      <c r="I5899" s="309"/>
      <c r="J5899" s="388"/>
      <c r="K5899" s="291"/>
      <c r="L5899" s="291"/>
      <c r="M5899" s="291"/>
      <c r="S5899" s="364"/>
      <c r="Z5899" s="609" t="s">
        <v>4719</v>
      </c>
      <c r="AA5899" s="609"/>
    </row>
    <row r="5900" spans="1:27" ht="18.75" thickBot="1">
      <c r="A5900" s="2714"/>
      <c r="B5900" s="371"/>
      <c r="C5900" s="371"/>
      <c r="D5900" s="2716">
        <f t="shared" si="628"/>
        <v>1</v>
      </c>
      <c r="E5900" s="2721" t="s">
        <v>2751</v>
      </c>
      <c r="F5900" s="294"/>
      <c r="G5900" s="1529" t="s">
        <v>2752</v>
      </c>
      <c r="H5900" s="1570"/>
      <c r="I5900" s="1527">
        <f>SUMPRODUCT($E5894:$E5899,I5894:I5899)</f>
        <v>0</v>
      </c>
      <c r="J5900" s="1571"/>
      <c r="K5900" s="291"/>
      <c r="L5900" s="291"/>
      <c r="M5900" s="291"/>
      <c r="S5900" s="364"/>
      <c r="Z5900" s="609" t="s">
        <v>4719</v>
      </c>
      <c r="AA5900" s="609"/>
    </row>
    <row r="5901" spans="1:27" ht="18">
      <c r="A5901" s="2714"/>
      <c r="B5901" s="371"/>
      <c r="C5901" s="371" t="s">
        <v>2755</v>
      </c>
      <c r="D5901" s="371"/>
      <c r="F5901" s="294"/>
      <c r="G5901" s="301"/>
      <c r="H5901" s="393"/>
      <c r="I5901" s="315"/>
      <c r="J5901" s="393"/>
      <c r="K5901" s="291"/>
      <c r="L5901" s="291"/>
      <c r="M5901" s="291"/>
      <c r="S5901" s="364"/>
      <c r="Z5901" s="609" t="s">
        <v>4719</v>
      </c>
      <c r="AA5901" s="609"/>
    </row>
    <row r="5902" spans="1:27" ht="18">
      <c r="A5902" s="2714">
        <v>7061</v>
      </c>
      <c r="B5902" s="371">
        <v>78.73</v>
      </c>
      <c r="C5902" s="2716" t="str">
        <f>VLOOKUP($A5902,Sheet_Items,2,0)</f>
        <v>支付给职工以及为职工支付的现金</v>
      </c>
      <c r="D5902" s="371"/>
      <c r="E5902" s="2716" t="s">
        <v>2739</v>
      </c>
      <c r="F5902" s="294"/>
      <c r="G5902" s="536" t="str">
        <f>B5902&amp;" "&amp;C5902</f>
        <v>78.73 支付给职工以及为职工支付的现金</v>
      </c>
      <c r="H5902" s="322"/>
      <c r="I5902" s="322"/>
      <c r="J5902" s="306" t="s">
        <v>4206</v>
      </c>
      <c r="K5902" s="341">
        <f>VLOOKUP($A5902,Sheet_Trialbal,6,0)</f>
        <v>2184383.0299999998</v>
      </c>
      <c r="L5902" s="342"/>
      <c r="M5902" s="306"/>
      <c r="N5902" s="341"/>
      <c r="O5902" s="306"/>
      <c r="P5902" s="301"/>
      <c r="S5902" s="364"/>
      <c r="Z5902" s="609">
        <v>7061</v>
      </c>
      <c r="AA5902" s="609"/>
    </row>
    <row r="5903" spans="1:27" ht="24">
      <c r="A5903" s="2714" t="s">
        <v>1953</v>
      </c>
      <c r="B5903" s="371">
        <v>1</v>
      </c>
      <c r="C5903" s="371"/>
      <c r="D5903" s="2716" t="str">
        <f>VLOOKUP($A5903,Sheet_NoteList,2,0)</f>
        <v>支付给职工以及为职工支付的现金计算表</v>
      </c>
      <c r="E5903" s="2716" t="s">
        <v>2742</v>
      </c>
      <c r="F5903" s="294"/>
      <c r="G5903" s="483" t="str">
        <f>"("&amp;B5903&amp;")"&amp;D5903</f>
        <v>(1)支付给职工以及为职工支付的现金计算表</v>
      </c>
      <c r="H5903" s="1517" t="str">
        <f>$A5903</f>
        <v>7061x</v>
      </c>
      <c r="I5903" s="343" t="s">
        <v>2743</v>
      </c>
      <c r="J5903" s="301" t="s">
        <v>4712</v>
      </c>
      <c r="K5903" s="2210">
        <f>I5911</f>
        <v>0</v>
      </c>
      <c r="L5903" s="345">
        <f>IF(ROUND(K5902-K5903,2)=0,"F/S",ROUND(K5902-K5903,2))</f>
        <v>2184383.0299999998</v>
      </c>
      <c r="M5903" s="532" t="s">
        <v>4713</v>
      </c>
      <c r="N5903" s="3081"/>
      <c r="O5903" s="315"/>
      <c r="P5903" s="301"/>
      <c r="S5903" s="364"/>
      <c r="Z5903" s="609">
        <v>7061</v>
      </c>
      <c r="AA5903" s="609"/>
    </row>
    <row r="5904" spans="1:27" ht="0.75" customHeight="1" thickBot="1">
      <c r="A5904" s="2714"/>
      <c r="B5904" s="371"/>
      <c r="C5904" s="371"/>
      <c r="D5904" s="371"/>
      <c r="F5904" s="371"/>
      <c r="G5904" s="371" t="s">
        <v>4721</v>
      </c>
      <c r="H5904" s="371" t="s">
        <v>4715</v>
      </c>
      <c r="I5904" s="371" t="s">
        <v>4716</v>
      </c>
      <c r="J5904" s="371" t="s">
        <v>3671</v>
      </c>
      <c r="K5904" s="291"/>
      <c r="L5904" s="291"/>
      <c r="M5904" s="291"/>
      <c r="S5904" s="364"/>
      <c r="Z5904" s="609">
        <v>7061</v>
      </c>
      <c r="AA5904" s="609"/>
    </row>
    <row r="5905" spans="1:27" ht="18">
      <c r="A5905" s="2714"/>
      <c r="B5905" s="371"/>
      <c r="C5905" s="371"/>
      <c r="D5905" s="371"/>
      <c r="E5905" s="2716" t="s">
        <v>2749</v>
      </c>
      <c r="F5905" s="294"/>
      <c r="G5905" s="1564" t="s">
        <v>47</v>
      </c>
      <c r="H5905" s="1565" t="s">
        <v>4717</v>
      </c>
      <c r="I5905" s="1565" t="s">
        <v>2887</v>
      </c>
      <c r="J5905" s="1566" t="s">
        <v>2758</v>
      </c>
      <c r="K5905" s="291"/>
      <c r="L5905" s="291"/>
      <c r="M5905" s="291"/>
      <c r="S5905" s="364"/>
      <c r="Z5905" s="609">
        <v>7061</v>
      </c>
      <c r="AA5905" s="609"/>
    </row>
    <row r="5906" spans="1:27" ht="18">
      <c r="A5906" s="2714"/>
      <c r="B5906" s="371">
        <v>101</v>
      </c>
      <c r="C5906" s="371" t="s">
        <v>2791</v>
      </c>
      <c r="D5906" s="2716">
        <f t="shared" ref="D5906:D5911" si="629">IF(OR(G5906="*",G5906="",G5906=0),0,COUNTIF($G$5906:$G$5911,G5906))</f>
        <v>0</v>
      </c>
      <c r="E5906" s="2721">
        <v>1</v>
      </c>
      <c r="F5906" s="294"/>
      <c r="G5906" s="1563" t="s">
        <v>2792</v>
      </c>
      <c r="H5906" s="360"/>
      <c r="I5906" s="309"/>
      <c r="J5906" s="388"/>
      <c r="K5906" s="291"/>
      <c r="L5906" s="291"/>
      <c r="M5906" s="291"/>
      <c r="S5906" s="364"/>
      <c r="Z5906" s="609">
        <v>7061</v>
      </c>
      <c r="AA5906" s="609"/>
    </row>
    <row r="5907" spans="1:27" ht="18">
      <c r="A5907" s="2714"/>
      <c r="B5907" s="371">
        <v>102</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103</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
      <c r="A5909" s="2714"/>
      <c r="B5909" s="371">
        <v>104</v>
      </c>
      <c r="C5909" s="371" t="s">
        <v>2791</v>
      </c>
      <c r="D5909" s="2716">
        <f t="shared" si="629"/>
        <v>0</v>
      </c>
      <c r="E5909" s="2721">
        <v>1</v>
      </c>
      <c r="F5909" s="294"/>
      <c r="G5909" s="1563" t="s">
        <v>2792</v>
      </c>
      <c r="H5909" s="360"/>
      <c r="I5909" s="309"/>
      <c r="J5909" s="388"/>
      <c r="K5909" s="291"/>
      <c r="L5909" s="291"/>
      <c r="M5909" s="291"/>
      <c r="S5909" s="364"/>
      <c r="Z5909" s="609">
        <v>7061</v>
      </c>
      <c r="AA5909" s="609"/>
    </row>
    <row r="5910" spans="1:27" ht="18">
      <c r="A5910" s="2714"/>
      <c r="B5910" s="371">
        <v>105</v>
      </c>
      <c r="C5910" s="371" t="s">
        <v>2791</v>
      </c>
      <c r="D5910" s="2716">
        <f t="shared" si="629"/>
        <v>0</v>
      </c>
      <c r="E5910" s="2721">
        <v>1</v>
      </c>
      <c r="F5910" s="294"/>
      <c r="G5910" s="1563" t="s">
        <v>2792</v>
      </c>
      <c r="H5910" s="360"/>
      <c r="I5910" s="309"/>
      <c r="J5910" s="388"/>
      <c r="K5910" s="291"/>
      <c r="L5910" s="291"/>
      <c r="M5910" s="291"/>
      <c r="S5910" s="364"/>
      <c r="Z5910" s="609">
        <v>7061</v>
      </c>
      <c r="AA5910" s="609"/>
    </row>
    <row r="5911" spans="1:27" ht="18.75" thickBot="1">
      <c r="A5911" s="2714"/>
      <c r="B5911" s="371"/>
      <c r="C5911" s="371"/>
      <c r="D5911" s="2716">
        <f t="shared" si="629"/>
        <v>1</v>
      </c>
      <c r="E5911" s="2721" t="s">
        <v>2751</v>
      </c>
      <c r="F5911" s="294"/>
      <c r="G5911" s="1529" t="s">
        <v>2752</v>
      </c>
      <c r="H5911" s="1570"/>
      <c r="I5911" s="1527">
        <f>SUMPRODUCT($E5905:$E5910,I5905:I5910)</f>
        <v>0</v>
      </c>
      <c r="J5911" s="1571"/>
      <c r="K5911" s="291"/>
      <c r="L5911" s="291"/>
      <c r="M5911" s="291"/>
      <c r="S5911" s="364"/>
      <c r="Z5911" s="609">
        <v>7061</v>
      </c>
      <c r="AA5911" s="609"/>
    </row>
    <row r="5912" spans="1:27" ht="18">
      <c r="A5912" s="2714"/>
      <c r="B5912" s="371"/>
      <c r="C5912" s="371" t="s">
        <v>2755</v>
      </c>
      <c r="D5912" s="371"/>
      <c r="F5912" s="294"/>
      <c r="G5912" s="301"/>
      <c r="H5912" s="393"/>
      <c r="I5912" s="315"/>
      <c r="J5912" s="393"/>
      <c r="K5912" s="291"/>
      <c r="L5912" s="291"/>
      <c r="M5912" s="291"/>
      <c r="S5912" s="364"/>
      <c r="Z5912" s="609">
        <v>7061</v>
      </c>
      <c r="AA5912" s="609"/>
    </row>
    <row r="5913" spans="1:27" ht="18">
      <c r="A5913" s="2714">
        <v>7071</v>
      </c>
      <c r="B5913" s="371">
        <v>78.739999999999995</v>
      </c>
      <c r="C5913" s="2716" t="str">
        <f>VLOOKUP($A5913,Sheet_Items,2,0)</f>
        <v>支付的各项税费</v>
      </c>
      <c r="D5913" s="371"/>
      <c r="E5913" s="2716" t="s">
        <v>2739</v>
      </c>
      <c r="F5913" s="294"/>
      <c r="G5913" s="536" t="str">
        <f>B5913&amp;" "&amp;C5913</f>
        <v>78.74 支付的各项税费</v>
      </c>
      <c r="H5913" s="322"/>
      <c r="I5913" s="322"/>
      <c r="J5913" s="306" t="s">
        <v>4206</v>
      </c>
      <c r="K5913" s="341">
        <f>VLOOKUP($A5913,Sheet_Trialbal,6,0)</f>
        <v>734423.99</v>
      </c>
      <c r="L5913" s="342"/>
      <c r="M5913" s="306"/>
      <c r="N5913" s="341"/>
      <c r="O5913" s="306"/>
      <c r="P5913" s="301"/>
      <c r="S5913" s="364"/>
      <c r="Z5913" s="609">
        <v>7071</v>
      </c>
      <c r="AA5913" s="609"/>
    </row>
    <row r="5914" spans="1:27" ht="18">
      <c r="A5914" s="2714" t="s">
        <v>1955</v>
      </c>
      <c r="B5914" s="371">
        <v>1</v>
      </c>
      <c r="C5914" s="371"/>
      <c r="D5914" s="2716" t="str">
        <f>VLOOKUP($A5914,Sheet_NoteList,2,0)</f>
        <v>支付的各项税费计算表</v>
      </c>
      <c r="E5914" s="2716" t="s">
        <v>2742</v>
      </c>
      <c r="F5914" s="294"/>
      <c r="G5914" s="483" t="str">
        <f>"("&amp;B5914&amp;")"&amp;D5914</f>
        <v>(1)支付的各项税费计算表</v>
      </c>
      <c r="H5914" s="1517" t="str">
        <f>$A5914</f>
        <v>7071x</v>
      </c>
      <c r="I5914" s="343" t="s">
        <v>2743</v>
      </c>
      <c r="J5914" s="301" t="s">
        <v>4712</v>
      </c>
      <c r="K5914" s="2210">
        <f>I5922</f>
        <v>0</v>
      </c>
      <c r="L5914" s="345">
        <f>IF(ROUND(K5913-K5914,2)=0,"F/S",ROUND(K5913-K5914,2))</f>
        <v>734423.99</v>
      </c>
      <c r="M5914" s="532" t="s">
        <v>4713</v>
      </c>
      <c r="N5914" s="3081"/>
      <c r="O5914" s="315"/>
      <c r="P5914" s="301"/>
      <c r="S5914" s="364"/>
      <c r="Z5914" s="609">
        <v>7071</v>
      </c>
      <c r="AA5914" s="609"/>
    </row>
    <row r="5915" spans="1:27" ht="0.75" customHeight="1" thickBot="1">
      <c r="A5915" s="2714"/>
      <c r="B5915" s="371"/>
      <c r="C5915" s="371"/>
      <c r="D5915" s="371"/>
      <c r="F5915" s="371"/>
      <c r="G5915" s="371" t="s">
        <v>4722</v>
      </c>
      <c r="H5915" s="371" t="s">
        <v>4715</v>
      </c>
      <c r="I5915" s="371" t="s">
        <v>4716</v>
      </c>
      <c r="J5915" s="371" t="s">
        <v>3671</v>
      </c>
      <c r="K5915" s="291"/>
      <c r="L5915" s="291"/>
      <c r="M5915" s="291"/>
      <c r="S5915" s="364"/>
      <c r="Z5915" s="609">
        <v>7071</v>
      </c>
      <c r="AA5915" s="609"/>
    </row>
    <row r="5916" spans="1:27" ht="18">
      <c r="A5916" s="2714"/>
      <c r="B5916" s="371"/>
      <c r="C5916" s="371"/>
      <c r="D5916" s="371"/>
      <c r="E5916" s="2716" t="s">
        <v>2749</v>
      </c>
      <c r="F5916" s="294"/>
      <c r="G5916" s="1564" t="s">
        <v>47</v>
      </c>
      <c r="H5916" s="1565" t="s">
        <v>4717</v>
      </c>
      <c r="I5916" s="1565" t="s">
        <v>2887</v>
      </c>
      <c r="J5916" s="1566" t="s">
        <v>2758</v>
      </c>
      <c r="K5916" s="291"/>
      <c r="L5916" s="291"/>
      <c r="M5916" s="291"/>
      <c r="S5916" s="364"/>
      <c r="Z5916" s="609">
        <v>7071</v>
      </c>
      <c r="AA5916" s="609"/>
    </row>
    <row r="5917" spans="1:27" ht="18">
      <c r="A5917" s="2714"/>
      <c r="B5917" s="371">
        <v>101</v>
      </c>
      <c r="C5917" s="371" t="s">
        <v>2791</v>
      </c>
      <c r="D5917" s="2716">
        <f t="shared" ref="D5917:D5922" si="630">IF(OR(G5917="*",G5917="",G5917=0),0,COUNTIF($G$5917:$G$5922,G5917))</f>
        <v>0</v>
      </c>
      <c r="E5917" s="2721">
        <v>1</v>
      </c>
      <c r="F5917" s="294"/>
      <c r="G5917" s="1563" t="s">
        <v>2792</v>
      </c>
      <c r="H5917" s="360"/>
      <c r="I5917" s="309"/>
      <c r="J5917" s="388"/>
      <c r="K5917" s="291"/>
      <c r="L5917" s="291"/>
      <c r="M5917" s="291"/>
      <c r="S5917" s="364"/>
      <c r="Z5917" s="609">
        <v>7071</v>
      </c>
      <c r="AA5917" s="609"/>
    </row>
    <row r="5918" spans="1:27" ht="18">
      <c r="A5918" s="2714"/>
      <c r="B5918" s="371">
        <v>102</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103</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
      <c r="A5920" s="2714"/>
      <c r="B5920" s="371">
        <v>104</v>
      </c>
      <c r="C5920" s="371" t="s">
        <v>2791</v>
      </c>
      <c r="D5920" s="2716">
        <f t="shared" si="630"/>
        <v>0</v>
      </c>
      <c r="E5920" s="2721">
        <v>1</v>
      </c>
      <c r="F5920" s="294"/>
      <c r="G5920" s="1563" t="s">
        <v>2792</v>
      </c>
      <c r="H5920" s="360"/>
      <c r="I5920" s="309"/>
      <c r="J5920" s="388"/>
      <c r="K5920" s="291"/>
      <c r="L5920" s="291"/>
      <c r="M5920" s="291"/>
      <c r="S5920" s="364"/>
      <c r="Z5920" s="609">
        <v>7071</v>
      </c>
      <c r="AA5920" s="609"/>
    </row>
    <row r="5921" spans="1:27" ht="18">
      <c r="A5921" s="2714"/>
      <c r="B5921" s="371">
        <v>105</v>
      </c>
      <c r="C5921" s="371" t="s">
        <v>2791</v>
      </c>
      <c r="D5921" s="2716">
        <f t="shared" si="630"/>
        <v>0</v>
      </c>
      <c r="E5921" s="2721">
        <v>1</v>
      </c>
      <c r="F5921" s="294"/>
      <c r="G5921" s="1563" t="s">
        <v>2792</v>
      </c>
      <c r="H5921" s="360"/>
      <c r="I5921" s="309"/>
      <c r="J5921" s="388"/>
      <c r="K5921" s="291"/>
      <c r="L5921" s="291"/>
      <c r="M5921" s="291"/>
      <c r="S5921" s="364"/>
      <c r="Z5921" s="609">
        <v>7071</v>
      </c>
      <c r="AA5921" s="609"/>
    </row>
    <row r="5922" spans="1:27" ht="18.75" thickBot="1">
      <c r="A5922" s="2714"/>
      <c r="B5922" s="371"/>
      <c r="C5922" s="371"/>
      <c r="D5922" s="2716">
        <f t="shared" si="630"/>
        <v>1</v>
      </c>
      <c r="E5922" s="2721" t="s">
        <v>2751</v>
      </c>
      <c r="F5922" s="294"/>
      <c r="G5922" s="1529" t="s">
        <v>2752</v>
      </c>
      <c r="H5922" s="1570"/>
      <c r="I5922" s="1527">
        <f>SUMPRODUCT($E5916:$E5921,I5916:I5921)</f>
        <v>0</v>
      </c>
      <c r="J5922" s="1571"/>
      <c r="K5922" s="291"/>
      <c r="L5922" s="291"/>
      <c r="M5922" s="291"/>
      <c r="S5922" s="364"/>
      <c r="Z5922" s="609">
        <v>7071</v>
      </c>
      <c r="AA5922" s="609"/>
    </row>
    <row r="5923" spans="1:27" ht="18">
      <c r="A5923" s="2714"/>
      <c r="B5923" s="371"/>
      <c r="C5923" s="371" t="s">
        <v>2755</v>
      </c>
      <c r="D5923" s="371"/>
      <c r="F5923" s="294"/>
      <c r="G5923" s="301"/>
      <c r="H5923" s="393"/>
      <c r="I5923" s="315"/>
      <c r="J5923" s="393"/>
      <c r="K5923" s="291"/>
      <c r="L5923" s="291"/>
      <c r="M5923" s="291"/>
      <c r="S5923" s="364"/>
      <c r="Z5923" s="609">
        <v>7071</v>
      </c>
      <c r="AA5923" s="609"/>
    </row>
    <row r="5924" spans="1:27" ht="18">
      <c r="A5924" s="2714">
        <v>7096</v>
      </c>
      <c r="B5924" s="371">
        <v>78.2</v>
      </c>
      <c r="C5924" s="2716" t="str">
        <f>VLOOKUP($A5924,Sheet_Items,2,0)</f>
        <v>支付其他与经营活动有关的现金</v>
      </c>
      <c r="D5924" s="371"/>
      <c r="E5924" s="2716" t="s">
        <v>2739</v>
      </c>
      <c r="F5924" s="294"/>
      <c r="G5924" s="536" t="str">
        <f>B5924&amp;" "&amp;C5924</f>
        <v>78.2 支付其他与经营活动有关的现金</v>
      </c>
      <c r="H5924" s="322"/>
      <c r="I5924" s="322"/>
      <c r="J5924" s="306" t="s">
        <v>4206</v>
      </c>
      <c r="K5924" s="341">
        <f>VLOOKUP($A5924,Sheet_Trialbal,6,0)</f>
        <v>26330.27</v>
      </c>
      <c r="L5924" s="342"/>
      <c r="M5924" s="306"/>
      <c r="N5924" s="341"/>
      <c r="O5924" s="306"/>
      <c r="P5924" s="301"/>
      <c r="S5924" s="364"/>
      <c r="Z5924" s="609">
        <v>7096</v>
      </c>
      <c r="AA5924" s="609"/>
    </row>
    <row r="5925" spans="1:27" ht="24">
      <c r="A5925" s="2714" t="s">
        <v>1960</v>
      </c>
      <c r="B5925" s="371">
        <v>1</v>
      </c>
      <c r="C5925" s="371"/>
      <c r="D5925" s="2716" t="str">
        <f>VLOOKUP($A5925,Sheet_NoteList,2,0)</f>
        <v>支付其他与经营活动有关的现金计算表</v>
      </c>
      <c r="E5925" s="2716" t="s">
        <v>2742</v>
      </c>
      <c r="F5925" s="294"/>
      <c r="G5925" s="483" t="str">
        <f>"("&amp;B5925&amp;")"&amp;D5925</f>
        <v>(1)支付其他与经营活动有关的现金计算表</v>
      </c>
      <c r="H5925" s="1517" t="str">
        <f>$A5925</f>
        <v>7096x</v>
      </c>
      <c r="I5925" s="343" t="s">
        <v>2743</v>
      </c>
      <c r="J5925" s="301" t="s">
        <v>4712</v>
      </c>
      <c r="K5925" s="2210">
        <f>I5933</f>
        <v>0</v>
      </c>
      <c r="L5925" s="345">
        <f>IF(ROUND(K5924-K5925,2)=0,"F/S",ROUND(K5924-K5925,2))</f>
        <v>26330.27</v>
      </c>
      <c r="M5925" s="532" t="s">
        <v>4713</v>
      </c>
      <c r="N5925" s="3081"/>
      <c r="O5925" s="315"/>
      <c r="P5925" s="301"/>
      <c r="S5925" s="364"/>
      <c r="Z5925" s="609">
        <v>7096</v>
      </c>
      <c r="AA5925" s="609"/>
    </row>
    <row r="5926" spans="1:27" ht="0.75" customHeight="1" thickBot="1">
      <c r="A5926" s="2714"/>
      <c r="B5926" s="371"/>
      <c r="C5926" s="371"/>
      <c r="D5926" s="371"/>
      <c r="F5926" s="371"/>
      <c r="G5926" s="371" t="s">
        <v>4723</v>
      </c>
      <c r="H5926" s="371" t="s">
        <v>4715</v>
      </c>
      <c r="I5926" s="371" t="s">
        <v>4716</v>
      </c>
      <c r="J5926" s="371" t="s">
        <v>3671</v>
      </c>
      <c r="K5926" s="291"/>
      <c r="L5926" s="291"/>
      <c r="M5926" s="291"/>
      <c r="S5926" s="364"/>
      <c r="Z5926" s="609">
        <v>7096</v>
      </c>
      <c r="AA5926" s="609"/>
    </row>
    <row r="5927" spans="1:27" ht="18">
      <c r="A5927" s="2714"/>
      <c r="B5927" s="371"/>
      <c r="C5927" s="371"/>
      <c r="D5927" s="371"/>
      <c r="E5927" s="2716" t="s">
        <v>2749</v>
      </c>
      <c r="F5927" s="294"/>
      <c r="G5927" s="1564" t="s">
        <v>47</v>
      </c>
      <c r="H5927" s="1565" t="s">
        <v>4717</v>
      </c>
      <c r="I5927" s="1565" t="s">
        <v>2887</v>
      </c>
      <c r="J5927" s="1566" t="s">
        <v>2758</v>
      </c>
      <c r="K5927" s="291"/>
      <c r="L5927" s="291"/>
      <c r="M5927" s="291"/>
      <c r="S5927" s="364"/>
      <c r="Z5927" s="609">
        <v>7096</v>
      </c>
      <c r="AA5927" s="609"/>
    </row>
    <row r="5928" spans="1:27" ht="18">
      <c r="A5928" s="2714"/>
      <c r="B5928" s="371">
        <v>101</v>
      </c>
      <c r="C5928" s="371" t="s">
        <v>2791</v>
      </c>
      <c r="D5928" s="2716">
        <f t="shared" ref="D5928:D5933" si="631">IF(OR(G5928="*",G5928="",G5928=0),0,COUNTIF($G$5928:$G$5933,G5928))</f>
        <v>0</v>
      </c>
      <c r="E5928" s="2721">
        <v>1</v>
      </c>
      <c r="F5928" s="294"/>
      <c r="G5928" s="1563" t="s">
        <v>2792</v>
      </c>
      <c r="H5928" s="360"/>
      <c r="I5928" s="309"/>
      <c r="J5928" s="388"/>
      <c r="K5928" s="291"/>
      <c r="L5928" s="291"/>
      <c r="M5928" s="291"/>
      <c r="S5928" s="364"/>
      <c r="Z5928" s="609">
        <v>7096</v>
      </c>
      <c r="AA5928" s="609"/>
    </row>
    <row r="5929" spans="1:27" ht="18">
      <c r="A5929" s="2714"/>
      <c r="B5929" s="371">
        <v>102</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103</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
      <c r="A5931" s="2714"/>
      <c r="B5931" s="371">
        <v>104</v>
      </c>
      <c r="C5931" s="371" t="s">
        <v>2791</v>
      </c>
      <c r="D5931" s="2716">
        <f t="shared" si="631"/>
        <v>0</v>
      </c>
      <c r="E5931" s="2721">
        <v>1</v>
      </c>
      <c r="F5931" s="294"/>
      <c r="G5931" s="1563" t="s">
        <v>2792</v>
      </c>
      <c r="H5931" s="360"/>
      <c r="I5931" s="309"/>
      <c r="J5931" s="388"/>
      <c r="K5931" s="291"/>
      <c r="L5931" s="291"/>
      <c r="M5931" s="291"/>
      <c r="S5931" s="364"/>
      <c r="Z5931" s="609">
        <v>7096</v>
      </c>
      <c r="AA5931" s="609"/>
    </row>
    <row r="5932" spans="1:27" ht="18">
      <c r="A5932" s="2714"/>
      <c r="B5932" s="371">
        <v>105</v>
      </c>
      <c r="C5932" s="371" t="s">
        <v>2791</v>
      </c>
      <c r="D5932" s="2716">
        <f t="shared" si="631"/>
        <v>0</v>
      </c>
      <c r="E5932" s="2721">
        <v>1</v>
      </c>
      <c r="F5932" s="294"/>
      <c r="G5932" s="1563" t="s">
        <v>2792</v>
      </c>
      <c r="H5932" s="360"/>
      <c r="I5932" s="309"/>
      <c r="J5932" s="388"/>
      <c r="K5932" s="291"/>
      <c r="L5932" s="291"/>
      <c r="M5932" s="291"/>
      <c r="S5932" s="364"/>
      <c r="Z5932" s="609">
        <v>7096</v>
      </c>
      <c r="AA5932" s="609"/>
    </row>
    <row r="5933" spans="1:27" ht="18.75" thickBot="1">
      <c r="A5933" s="2714"/>
      <c r="B5933" s="371"/>
      <c r="C5933" s="371"/>
      <c r="D5933" s="2716">
        <f t="shared" si="631"/>
        <v>1</v>
      </c>
      <c r="E5933" s="2721" t="s">
        <v>2751</v>
      </c>
      <c r="F5933" s="294"/>
      <c r="G5933" s="1529" t="s">
        <v>2752</v>
      </c>
      <c r="H5933" s="1570"/>
      <c r="I5933" s="1527">
        <f>SUMPRODUCT($E5927:$E5932,I5927:I5932)</f>
        <v>0</v>
      </c>
      <c r="J5933" s="1571"/>
      <c r="K5933" s="291"/>
      <c r="L5933" s="291"/>
      <c r="M5933" s="291"/>
      <c r="S5933" s="364"/>
      <c r="Z5933" s="609">
        <v>7096</v>
      </c>
      <c r="AA5933" s="609"/>
    </row>
    <row r="5934" spans="1:27" ht="18">
      <c r="A5934" s="2714"/>
      <c r="B5934" s="371"/>
      <c r="C5934" s="371" t="s">
        <v>2755</v>
      </c>
      <c r="D5934" s="371"/>
      <c r="F5934" s="294"/>
      <c r="G5934" s="301"/>
      <c r="H5934" s="393"/>
      <c r="I5934" s="315"/>
      <c r="J5934" s="393"/>
      <c r="K5934" s="291"/>
      <c r="L5934" s="291"/>
      <c r="M5934" s="291"/>
      <c r="S5934" s="364"/>
      <c r="Z5934" s="609">
        <v>7096</v>
      </c>
      <c r="AA5934" s="609"/>
    </row>
    <row r="5935" spans="1:27" ht="18">
      <c r="A5935" s="2714">
        <v>7101</v>
      </c>
      <c r="B5935" s="371">
        <v>78.75</v>
      </c>
      <c r="C5935" s="2716" t="str">
        <f>VLOOKUP($A5935,Sheet_Items,2,0)</f>
        <v>收回投资收到的现金</v>
      </c>
      <c r="D5935" s="371"/>
      <c r="E5935" s="2716" t="s">
        <v>2739</v>
      </c>
      <c r="F5935" s="294"/>
      <c r="G5935" s="536" t="str">
        <f>B5935&amp;" "&amp;C5935</f>
        <v>78.75 收回投资收到的现金</v>
      </c>
      <c r="H5935" s="322"/>
      <c r="I5935" s="322"/>
      <c r="J5935" s="306" t="s">
        <v>4206</v>
      </c>
      <c r="K5935" s="341">
        <f>VLOOKUP($A5935,Sheet_Trialbal,6,0)</f>
        <v>0</v>
      </c>
      <c r="L5935" s="342"/>
      <c r="M5935" s="306"/>
      <c r="N5935" s="341"/>
      <c r="O5935" s="306"/>
      <c r="P5935" s="301"/>
      <c r="S5935" s="364"/>
      <c r="Z5935" s="609">
        <v>7101</v>
      </c>
      <c r="AA5935" s="609"/>
    </row>
    <row r="5936" spans="1:27" ht="24">
      <c r="A5936" s="2714" t="s">
        <v>1963</v>
      </c>
      <c r="B5936" s="371">
        <v>1</v>
      </c>
      <c r="C5936" s="371"/>
      <c r="D5936" s="2716" t="str">
        <f>VLOOKUP($A5936,Sheet_NoteList,2,0)</f>
        <v>收回投资收到的现金计算表</v>
      </c>
      <c r="E5936" s="2716" t="s">
        <v>2742</v>
      </c>
      <c r="F5936" s="294"/>
      <c r="G5936" s="483" t="str">
        <f>"("&amp;B5936&amp;")"&amp;D5936</f>
        <v>(1)收回投资收到的现金计算表</v>
      </c>
      <c r="H5936" s="1517" t="str">
        <f>$A5936</f>
        <v>7101x</v>
      </c>
      <c r="I5936" s="343" t="s">
        <v>2743</v>
      </c>
      <c r="J5936" s="301" t="s">
        <v>4712</v>
      </c>
      <c r="K5936" s="2210">
        <f>I5944</f>
        <v>0</v>
      </c>
      <c r="L5936" s="345" t="str">
        <f>IF(ROUND(K5935-K5936,2)=0,"F/S",ROUND(K5935-K5936,2))</f>
        <v>F/S</v>
      </c>
      <c r="M5936" s="532" t="s">
        <v>4713</v>
      </c>
      <c r="N5936" s="3081"/>
      <c r="O5936" s="315"/>
      <c r="P5936" s="301"/>
      <c r="S5936" s="364"/>
      <c r="Z5936" s="609">
        <v>7101</v>
      </c>
      <c r="AA5936" s="609"/>
    </row>
    <row r="5937" spans="1:27" ht="0.75" customHeight="1" thickBot="1">
      <c r="A5937" s="2714"/>
      <c r="B5937" s="371"/>
      <c r="C5937" s="371"/>
      <c r="D5937" s="371"/>
      <c r="F5937" s="371"/>
      <c r="G5937" s="371" t="s">
        <v>4724</v>
      </c>
      <c r="H5937" s="371" t="s">
        <v>4715</v>
      </c>
      <c r="I5937" s="371" t="s">
        <v>4716</v>
      </c>
      <c r="J5937" s="371" t="s">
        <v>3671</v>
      </c>
      <c r="K5937" s="291"/>
      <c r="L5937" s="291"/>
      <c r="M5937" s="291"/>
      <c r="S5937" s="364"/>
      <c r="Z5937" s="609">
        <v>7101</v>
      </c>
      <c r="AA5937" s="609"/>
    </row>
    <row r="5938" spans="1:27" ht="18">
      <c r="A5938" s="2714"/>
      <c r="B5938" s="371"/>
      <c r="C5938" s="371"/>
      <c r="D5938" s="371"/>
      <c r="E5938" s="2716" t="s">
        <v>2749</v>
      </c>
      <c r="F5938" s="294"/>
      <c r="G5938" s="1564" t="s">
        <v>47</v>
      </c>
      <c r="H5938" s="1565" t="s">
        <v>4717</v>
      </c>
      <c r="I5938" s="1565" t="s">
        <v>2887</v>
      </c>
      <c r="J5938" s="1566" t="s">
        <v>2758</v>
      </c>
      <c r="K5938" s="291"/>
      <c r="L5938" s="291"/>
      <c r="M5938" s="291"/>
      <c r="S5938" s="364"/>
      <c r="Z5938" s="609">
        <v>7101</v>
      </c>
      <c r="AA5938" s="609"/>
    </row>
    <row r="5939" spans="1:27" ht="18">
      <c r="A5939" s="2714"/>
      <c r="B5939" s="371">
        <v>101</v>
      </c>
      <c r="C5939" s="371" t="s">
        <v>2791</v>
      </c>
      <c r="D5939" s="2716">
        <f t="shared" ref="D5939:D5944" si="632">IF(OR(G5939="*",G5939="",G5939=0),0,COUNTIF($G$5939:$G$5944,G5939))</f>
        <v>1</v>
      </c>
      <c r="E5939" s="2721">
        <v>1</v>
      </c>
      <c r="F5939" s="294"/>
      <c r="G5939" s="1563" t="s">
        <v>4725</v>
      </c>
      <c r="H5939" s="360" t="s">
        <v>4726</v>
      </c>
      <c r="I5939" s="309"/>
      <c r="J5939" s="388"/>
      <c r="K5939" s="291"/>
      <c r="L5939" s="291"/>
      <c r="M5939" s="291"/>
      <c r="S5939" s="364"/>
      <c r="Z5939" s="609">
        <v>7101</v>
      </c>
      <c r="AA5939" s="609"/>
    </row>
    <row r="5940" spans="1:27" ht="18">
      <c r="A5940" s="2714"/>
      <c r="B5940" s="371">
        <v>102</v>
      </c>
      <c r="C5940" s="371" t="s">
        <v>2791</v>
      </c>
      <c r="D5940" s="2716">
        <f t="shared" si="632"/>
        <v>1</v>
      </c>
      <c r="E5940" s="2721">
        <v>1</v>
      </c>
      <c r="F5940" s="294"/>
      <c r="G5940" s="1563" t="s">
        <v>4727</v>
      </c>
      <c r="H5940" s="360" t="s">
        <v>4726</v>
      </c>
      <c r="I5940" s="309"/>
      <c r="J5940" s="388"/>
      <c r="K5940" s="291"/>
      <c r="L5940" s="291"/>
      <c r="M5940" s="291"/>
      <c r="S5940" s="364"/>
      <c r="Z5940" s="609">
        <v>7101</v>
      </c>
      <c r="AA5940" s="609"/>
    </row>
    <row r="5941" spans="1:27" ht="18">
      <c r="A5941" s="2714"/>
      <c r="B5941" s="371">
        <v>103</v>
      </c>
      <c r="C5941" s="371" t="s">
        <v>2791</v>
      </c>
      <c r="D5941" s="2716">
        <f t="shared" si="632"/>
        <v>1</v>
      </c>
      <c r="E5941" s="2721">
        <v>1</v>
      </c>
      <c r="F5941" s="294"/>
      <c r="G5941" s="1563" t="s">
        <v>4728</v>
      </c>
      <c r="H5941" s="360" t="s">
        <v>4726</v>
      </c>
      <c r="I5941" s="309"/>
      <c r="J5941" s="388"/>
      <c r="K5941" s="291"/>
      <c r="L5941" s="291"/>
      <c r="M5941" s="291"/>
      <c r="S5941" s="364"/>
      <c r="Z5941" s="609">
        <v>7101</v>
      </c>
      <c r="AA5941" s="609"/>
    </row>
    <row r="5942" spans="1:27" ht="18">
      <c r="A5942" s="2714"/>
      <c r="B5942" s="371">
        <v>104</v>
      </c>
      <c r="C5942" s="371" t="s">
        <v>2791</v>
      </c>
      <c r="D5942" s="2716">
        <f t="shared" si="632"/>
        <v>1</v>
      </c>
      <c r="E5942" s="2721">
        <v>1</v>
      </c>
      <c r="F5942" s="294"/>
      <c r="G5942" s="1563" t="s">
        <v>4729</v>
      </c>
      <c r="H5942" s="360" t="s">
        <v>4726</v>
      </c>
      <c r="I5942" s="309"/>
      <c r="J5942" s="388"/>
      <c r="K5942" s="291"/>
      <c r="L5942" s="291"/>
      <c r="M5942" s="291"/>
      <c r="S5942" s="364"/>
      <c r="Z5942" s="609">
        <v>7101</v>
      </c>
      <c r="AA5942" s="609"/>
    </row>
    <row r="5943" spans="1:27" ht="18">
      <c r="A5943" s="2714"/>
      <c r="B5943" s="371">
        <v>105</v>
      </c>
      <c r="C5943" s="371" t="s">
        <v>2791</v>
      </c>
      <c r="D5943" s="2716">
        <f t="shared" si="632"/>
        <v>0</v>
      </c>
      <c r="E5943" s="2721">
        <v>1</v>
      </c>
      <c r="F5943" s="294"/>
      <c r="G5943" s="1563" t="s">
        <v>2792</v>
      </c>
      <c r="H5943" s="360"/>
      <c r="I5943" s="309"/>
      <c r="J5943" s="388"/>
      <c r="K5943" s="291"/>
      <c r="L5943" s="291"/>
      <c r="M5943" s="291"/>
      <c r="S5943" s="364"/>
      <c r="Z5943" s="609">
        <v>7101</v>
      </c>
      <c r="AA5943" s="609"/>
    </row>
    <row r="5944" spans="1:27" ht="18.75" thickBot="1">
      <c r="A5944" s="2714"/>
      <c r="B5944" s="371"/>
      <c r="C5944" s="371"/>
      <c r="D5944" s="2716">
        <f t="shared" si="632"/>
        <v>1</v>
      </c>
      <c r="E5944" s="2721" t="s">
        <v>2751</v>
      </c>
      <c r="F5944" s="294"/>
      <c r="G5944" s="1529" t="s">
        <v>2752</v>
      </c>
      <c r="H5944" s="1570"/>
      <c r="I5944" s="1527">
        <f>SUMPRODUCT($E5938:$E5943,I5938:I5943)</f>
        <v>0</v>
      </c>
      <c r="J5944" s="1571"/>
      <c r="K5944" s="291"/>
      <c r="L5944" s="291"/>
      <c r="M5944" s="291"/>
      <c r="S5944" s="364"/>
      <c r="Z5944" s="609">
        <v>7101</v>
      </c>
      <c r="AA5944" s="609"/>
    </row>
    <row r="5945" spans="1:27" ht="18">
      <c r="A5945" s="2714"/>
      <c r="B5945" s="371"/>
      <c r="C5945" s="371" t="s">
        <v>2755</v>
      </c>
      <c r="D5945" s="371"/>
      <c r="F5945" s="294"/>
      <c r="G5945" s="301"/>
      <c r="H5945" s="393"/>
      <c r="I5945" s="315"/>
      <c r="J5945" s="393"/>
      <c r="K5945" s="291"/>
      <c r="L5945" s="291"/>
      <c r="M5945" s="291"/>
      <c r="S5945" s="364"/>
      <c r="Z5945" s="609">
        <v>7101</v>
      </c>
      <c r="AA5945" s="609"/>
    </row>
    <row r="5946" spans="1:27" ht="18">
      <c r="A5946" s="2714">
        <v>7105</v>
      </c>
      <c r="B5946" s="371">
        <v>78.760000000000005</v>
      </c>
      <c r="C5946" s="2716" t="str">
        <f>VLOOKUP($A5946,Sheet_Items,2,0)</f>
        <v>取得投资收益收到的现金</v>
      </c>
      <c r="D5946" s="371"/>
      <c r="E5946" s="2716" t="s">
        <v>2739</v>
      </c>
      <c r="F5946" s="294"/>
      <c r="G5946" s="536" t="str">
        <f>B5946&amp;" "&amp;C5946</f>
        <v>78.76 取得投资收益收到的现金</v>
      </c>
      <c r="H5946" s="322"/>
      <c r="I5946" s="322"/>
      <c r="J5946" s="306" t="s">
        <v>4206</v>
      </c>
      <c r="K5946" s="341">
        <f>VLOOKUP($A5946,Sheet_Trialbal,6,0)</f>
        <v>0</v>
      </c>
      <c r="L5946" s="342"/>
      <c r="M5946" s="306"/>
      <c r="N5946" s="341"/>
      <c r="O5946" s="306"/>
      <c r="P5946" s="301"/>
      <c r="S5946" s="364"/>
      <c r="Z5946" s="609">
        <v>7105</v>
      </c>
      <c r="AA5946" s="609"/>
    </row>
    <row r="5947" spans="1:27" ht="24">
      <c r="A5947" s="2714" t="s">
        <v>1965</v>
      </c>
      <c r="B5947" s="371">
        <v>1</v>
      </c>
      <c r="C5947" s="371"/>
      <c r="D5947" s="2716" t="str">
        <f>VLOOKUP($A5947,Sheet_NoteList,2,0)</f>
        <v>取得投资收益收到的现金计算表</v>
      </c>
      <c r="E5947" s="2716" t="s">
        <v>2742</v>
      </c>
      <c r="F5947" s="294"/>
      <c r="G5947" s="483" t="str">
        <f>"("&amp;B5947&amp;")"&amp;D5947</f>
        <v>(1)取得投资收益收到的现金计算表</v>
      </c>
      <c r="H5947" s="1517" t="str">
        <f>$A5947</f>
        <v>7105x</v>
      </c>
      <c r="I5947" s="343" t="s">
        <v>2743</v>
      </c>
      <c r="J5947" s="301" t="s">
        <v>4712</v>
      </c>
      <c r="K5947" s="2210">
        <f>I5955</f>
        <v>0</v>
      </c>
      <c r="L5947" s="345" t="str">
        <f>IF(ROUND(K5946-K5947,2)=0,"F/S",ROUND(K5946-K5947,2))</f>
        <v>F/S</v>
      </c>
      <c r="M5947" s="532" t="s">
        <v>4713</v>
      </c>
      <c r="N5947" s="3081"/>
      <c r="O5947" s="315"/>
      <c r="P5947" s="301"/>
      <c r="S5947" s="364"/>
      <c r="Z5947" s="609">
        <v>7105</v>
      </c>
      <c r="AA5947" s="609"/>
    </row>
    <row r="5948" spans="1:27" ht="0.75" customHeight="1" thickBot="1">
      <c r="A5948" s="2714"/>
      <c r="B5948" s="371"/>
      <c r="C5948" s="371"/>
      <c r="D5948" s="371"/>
      <c r="F5948" s="371"/>
      <c r="G5948" s="371" t="s">
        <v>4730</v>
      </c>
      <c r="H5948" s="371" t="s">
        <v>4715</v>
      </c>
      <c r="I5948" s="371" t="s">
        <v>4716</v>
      </c>
      <c r="J5948" s="371" t="s">
        <v>3671</v>
      </c>
      <c r="K5948" s="291"/>
      <c r="L5948" s="291"/>
      <c r="M5948" s="291"/>
      <c r="S5948" s="364"/>
      <c r="Z5948" s="609">
        <v>7105</v>
      </c>
      <c r="AA5948" s="609"/>
    </row>
    <row r="5949" spans="1:27" ht="18">
      <c r="A5949" s="2714"/>
      <c r="B5949" s="371"/>
      <c r="C5949" s="371"/>
      <c r="D5949" s="371"/>
      <c r="E5949" s="2716" t="s">
        <v>2749</v>
      </c>
      <c r="F5949" s="294"/>
      <c r="G5949" s="1564" t="s">
        <v>47</v>
      </c>
      <c r="H5949" s="1565" t="s">
        <v>4717</v>
      </c>
      <c r="I5949" s="1565" t="s">
        <v>2887</v>
      </c>
      <c r="J5949" s="1566" t="s">
        <v>2758</v>
      </c>
      <c r="K5949" s="291"/>
      <c r="L5949" s="291"/>
      <c r="M5949" s="291"/>
      <c r="S5949" s="364"/>
      <c r="Z5949" s="609">
        <v>7105</v>
      </c>
      <c r="AA5949" s="609"/>
    </row>
    <row r="5950" spans="1:27" ht="18">
      <c r="A5950" s="2714"/>
      <c r="B5950" s="371">
        <v>101</v>
      </c>
      <c r="C5950" s="371" t="s">
        <v>2791</v>
      </c>
      <c r="D5950" s="2716">
        <f t="shared" ref="D5950:D5955" si="633">IF(OR(G5950="*",G5950="",G5950=0),0,COUNTIF($G$5950:$G$5955,G5950))</f>
        <v>1</v>
      </c>
      <c r="E5950" s="2721">
        <v>1</v>
      </c>
      <c r="F5950" s="294"/>
      <c r="G5950" s="1563" t="s">
        <v>4731</v>
      </c>
      <c r="H5950" s="360" t="s">
        <v>4726</v>
      </c>
      <c r="I5950" s="309"/>
      <c r="J5950" s="388"/>
      <c r="K5950" s="291"/>
      <c r="L5950" s="291"/>
      <c r="M5950" s="291"/>
      <c r="S5950" s="364"/>
      <c r="Z5950" s="609">
        <v>7105</v>
      </c>
      <c r="AA5950" s="609"/>
    </row>
    <row r="5951" spans="1:27" ht="18">
      <c r="A5951" s="2714"/>
      <c r="B5951" s="371">
        <v>102</v>
      </c>
      <c r="C5951" s="371" t="s">
        <v>2791</v>
      </c>
      <c r="D5951" s="2716">
        <f t="shared" si="633"/>
        <v>1</v>
      </c>
      <c r="E5951" s="2721">
        <v>1</v>
      </c>
      <c r="F5951" s="294"/>
      <c r="G5951" s="1563" t="s">
        <v>4732</v>
      </c>
      <c r="H5951" s="360" t="s">
        <v>4726</v>
      </c>
      <c r="I5951" s="309"/>
      <c r="J5951" s="388"/>
      <c r="K5951" s="291"/>
      <c r="L5951" s="291"/>
      <c r="M5951" s="291"/>
      <c r="S5951" s="364"/>
      <c r="Z5951" s="609">
        <v>7105</v>
      </c>
      <c r="AA5951" s="609"/>
    </row>
    <row r="5952" spans="1:27" ht="18">
      <c r="A5952" s="2714"/>
      <c r="B5952" s="371">
        <v>103</v>
      </c>
      <c r="C5952" s="371" t="s">
        <v>2791</v>
      </c>
      <c r="D5952" s="2716">
        <f t="shared" si="633"/>
        <v>1</v>
      </c>
      <c r="E5952" s="2721">
        <v>1</v>
      </c>
      <c r="F5952" s="294"/>
      <c r="G5952" s="1563" t="s">
        <v>4733</v>
      </c>
      <c r="H5952" s="360" t="s">
        <v>4726</v>
      </c>
      <c r="I5952" s="309"/>
      <c r="J5952" s="388"/>
      <c r="K5952" s="291"/>
      <c r="L5952" s="291"/>
      <c r="M5952" s="291"/>
      <c r="S5952" s="364"/>
      <c r="Z5952" s="609">
        <v>7105</v>
      </c>
      <c r="AA5952" s="609"/>
    </row>
    <row r="5953" spans="1:27" ht="18">
      <c r="A5953" s="2714"/>
      <c r="B5953" s="371">
        <v>104</v>
      </c>
      <c r="C5953" s="371" t="s">
        <v>2791</v>
      </c>
      <c r="D5953" s="2716">
        <f t="shared" si="633"/>
        <v>1</v>
      </c>
      <c r="E5953" s="2721">
        <v>1</v>
      </c>
      <c r="F5953" s="294"/>
      <c r="G5953" s="1563" t="s">
        <v>4729</v>
      </c>
      <c r="H5953" s="360" t="s">
        <v>4726</v>
      </c>
      <c r="I5953" s="309"/>
      <c r="J5953" s="388"/>
      <c r="K5953" s="291"/>
      <c r="L5953" s="291"/>
      <c r="M5953" s="291"/>
      <c r="S5953" s="364"/>
      <c r="Z5953" s="609">
        <v>7105</v>
      </c>
      <c r="AA5953" s="609"/>
    </row>
    <row r="5954" spans="1:27" ht="18">
      <c r="A5954" s="2714"/>
      <c r="B5954" s="371">
        <v>105</v>
      </c>
      <c r="C5954" s="371" t="s">
        <v>2791</v>
      </c>
      <c r="D5954" s="2716">
        <f t="shared" si="633"/>
        <v>0</v>
      </c>
      <c r="E5954" s="2721">
        <v>1</v>
      </c>
      <c r="F5954" s="294"/>
      <c r="G5954" s="1563" t="s">
        <v>2792</v>
      </c>
      <c r="H5954" s="360"/>
      <c r="I5954" s="309"/>
      <c r="J5954" s="388"/>
      <c r="K5954" s="291"/>
      <c r="L5954" s="291"/>
      <c r="M5954" s="291"/>
      <c r="S5954" s="364"/>
      <c r="Z5954" s="609">
        <v>7105</v>
      </c>
      <c r="AA5954" s="609"/>
    </row>
    <row r="5955" spans="1:27" ht="18.75" thickBot="1">
      <c r="A5955" s="2714"/>
      <c r="B5955" s="371"/>
      <c r="C5955" s="371"/>
      <c r="D5955" s="2716">
        <f t="shared" si="633"/>
        <v>1</v>
      </c>
      <c r="E5955" s="2721" t="s">
        <v>2751</v>
      </c>
      <c r="F5955" s="294"/>
      <c r="G5955" s="1529" t="s">
        <v>2752</v>
      </c>
      <c r="H5955" s="1570"/>
      <c r="I5955" s="1527">
        <f>SUMPRODUCT($E5949:$E5954,I5949:I5954)</f>
        <v>0</v>
      </c>
      <c r="J5955" s="1571"/>
      <c r="K5955" s="291"/>
      <c r="L5955" s="291"/>
      <c r="M5955" s="291"/>
      <c r="S5955" s="364"/>
      <c r="Z5955" s="609">
        <v>7105</v>
      </c>
      <c r="AA5955" s="609"/>
    </row>
    <row r="5956" spans="1:27" ht="18">
      <c r="A5956" s="2714"/>
      <c r="B5956" s="371"/>
      <c r="C5956" s="371" t="s">
        <v>2755</v>
      </c>
      <c r="D5956" s="371"/>
      <c r="F5956" s="294"/>
      <c r="G5956" s="301"/>
      <c r="H5956" s="393"/>
      <c r="I5956" s="315"/>
      <c r="J5956" s="393"/>
      <c r="K5956" s="291"/>
      <c r="L5956" s="291"/>
      <c r="M5956" s="291"/>
      <c r="S5956" s="364"/>
      <c r="Z5956" s="609">
        <v>7105</v>
      </c>
      <c r="AA5956" s="609"/>
    </row>
    <row r="5957" spans="1:27" ht="18">
      <c r="A5957" s="2714">
        <v>7111</v>
      </c>
      <c r="B5957" s="371">
        <v>78.77</v>
      </c>
      <c r="C5957" s="2716" t="str">
        <f>VLOOKUP($A5957,Sheet_Items,2,0)</f>
        <v>处置固定资产无形资产长期资产收回的现金</v>
      </c>
      <c r="D5957" s="371"/>
      <c r="E5957" s="2716" t="s">
        <v>2739</v>
      </c>
      <c r="F5957" s="294"/>
      <c r="G5957" s="536" t="str">
        <f>B5957&amp;" "&amp;C5957</f>
        <v>78.77 处置固定资产无形资产长期资产收回的现金</v>
      </c>
      <c r="H5957" s="322"/>
      <c r="I5957" s="322"/>
      <c r="J5957" s="306" t="s">
        <v>4206</v>
      </c>
      <c r="K5957" s="341">
        <f>VLOOKUP($A5957,Sheet_Trialbal,6,0)</f>
        <v>0</v>
      </c>
      <c r="L5957" s="342"/>
      <c r="M5957" s="306"/>
      <c r="N5957" s="341"/>
      <c r="O5957" s="306"/>
      <c r="P5957" s="301"/>
      <c r="S5957" s="364"/>
      <c r="Z5957" s="609">
        <v>7111</v>
      </c>
      <c r="AA5957" s="609"/>
    </row>
    <row r="5958" spans="1:27" ht="24">
      <c r="A5958" s="2714" t="s">
        <v>1967</v>
      </c>
      <c r="B5958" s="371">
        <v>1</v>
      </c>
      <c r="C5958" s="371"/>
      <c r="D5958" s="2716" t="str">
        <f>VLOOKUP($A5958,Sheet_NoteList,2,0)</f>
        <v>处置固定资产无形资产长期资产收回的现金计算表</v>
      </c>
      <c r="E5958" s="2716" t="s">
        <v>2742</v>
      </c>
      <c r="F5958" s="294"/>
      <c r="G5958" s="483" t="str">
        <f>"("&amp;B5958&amp;")"&amp;D5958</f>
        <v>(1)处置固定资产无形资产长期资产收回的现金计算表</v>
      </c>
      <c r="H5958" s="1517" t="str">
        <f>$A5958</f>
        <v>7111x</v>
      </c>
      <c r="I5958" s="343" t="s">
        <v>2743</v>
      </c>
      <c r="J5958" s="301" t="s">
        <v>4712</v>
      </c>
      <c r="K5958" s="2210">
        <f>I5974</f>
        <v>0</v>
      </c>
      <c r="L5958" s="345" t="str">
        <f>IF(ROUND(K5957-K5958,2)=0,"F/S",ROUND(K5957-K5958,2))</f>
        <v>F/S</v>
      </c>
      <c r="M5958" s="532" t="s">
        <v>4713</v>
      </c>
      <c r="N5958" s="3081"/>
      <c r="O5958" s="315"/>
      <c r="P5958" s="301"/>
      <c r="S5958" s="364"/>
      <c r="Z5958" s="609">
        <v>7111</v>
      </c>
      <c r="AA5958" s="609"/>
    </row>
    <row r="5959" spans="1:27" ht="0.75" customHeight="1" thickBot="1">
      <c r="A5959" s="2714"/>
      <c r="B5959" s="371"/>
      <c r="C5959" s="371"/>
      <c r="D5959" s="371"/>
      <c r="F5959" s="371"/>
      <c r="G5959" s="371" t="s">
        <v>4734</v>
      </c>
      <c r="H5959" s="371" t="s">
        <v>4715</v>
      </c>
      <c r="I5959" s="371" t="s">
        <v>4716</v>
      </c>
      <c r="J5959" s="371" t="s">
        <v>3671</v>
      </c>
      <c r="K5959" s="291"/>
      <c r="L5959" s="291"/>
      <c r="M5959" s="291"/>
      <c r="S5959" s="364"/>
      <c r="Z5959" s="609">
        <v>7111</v>
      </c>
      <c r="AA5959" s="609"/>
    </row>
    <row r="5960" spans="1:27" ht="18">
      <c r="A5960" s="2714"/>
      <c r="B5960" s="371"/>
      <c r="C5960" s="371"/>
      <c r="D5960" s="371"/>
      <c r="E5960" s="2716" t="s">
        <v>2749</v>
      </c>
      <c r="F5960" s="294"/>
      <c r="G5960" s="1564" t="s">
        <v>47</v>
      </c>
      <c r="H5960" s="1565" t="s">
        <v>4717</v>
      </c>
      <c r="I5960" s="1565" t="s">
        <v>2887</v>
      </c>
      <c r="J5960" s="1566" t="s">
        <v>2758</v>
      </c>
      <c r="K5960" s="291"/>
      <c r="L5960" s="291"/>
      <c r="M5960" s="291"/>
      <c r="S5960" s="364"/>
      <c r="Z5960" s="609">
        <v>7111</v>
      </c>
      <c r="AA5960" s="609"/>
    </row>
    <row r="5961" spans="1:27" ht="18">
      <c r="A5961" s="2714"/>
      <c r="B5961" s="371">
        <v>101</v>
      </c>
      <c r="C5961" s="371" t="s">
        <v>2791</v>
      </c>
      <c r="D5961" s="2716">
        <f t="shared" ref="D5961:D5974" si="634">IF(OR(G5961="*",G5961="",G5961=0),0,COUNTIF($G$5961:$G$5974,G5961))</f>
        <v>1</v>
      </c>
      <c r="E5961" s="2721">
        <v>1</v>
      </c>
      <c r="F5961" s="294"/>
      <c r="G5961" s="1563" t="s">
        <v>4735</v>
      </c>
      <c r="H5961" s="360" t="s">
        <v>4726</v>
      </c>
      <c r="I5961" s="309"/>
      <c r="J5961" s="388"/>
      <c r="K5961" s="291"/>
      <c r="L5961" s="291"/>
      <c r="M5961" s="291"/>
      <c r="S5961" s="364"/>
      <c r="Z5961" s="609">
        <v>7111</v>
      </c>
      <c r="AA5961" s="609"/>
    </row>
    <row r="5962" spans="1:27" ht="18">
      <c r="A5962" s="2714"/>
      <c r="B5962" s="371">
        <v>102</v>
      </c>
      <c r="C5962" s="371" t="s">
        <v>2791</v>
      </c>
      <c r="D5962" s="2716">
        <f t="shared" si="634"/>
        <v>1</v>
      </c>
      <c r="E5962" s="2721">
        <v>1</v>
      </c>
      <c r="F5962" s="294"/>
      <c r="G5962" s="1563" t="s">
        <v>4736</v>
      </c>
      <c r="H5962" s="360" t="s">
        <v>4726</v>
      </c>
      <c r="I5962" s="309"/>
      <c r="J5962" s="388"/>
      <c r="K5962" s="291"/>
      <c r="L5962" s="291"/>
      <c r="M5962" s="291"/>
      <c r="S5962" s="364"/>
      <c r="Z5962" s="609">
        <v>7111</v>
      </c>
      <c r="AA5962" s="609"/>
    </row>
    <row r="5963" spans="1:27" ht="18">
      <c r="A5963" s="2714"/>
      <c r="B5963" s="371">
        <v>103</v>
      </c>
      <c r="C5963" s="371" t="s">
        <v>2791</v>
      </c>
      <c r="D5963" s="2716">
        <f t="shared" si="634"/>
        <v>1</v>
      </c>
      <c r="E5963" s="2721">
        <v>1</v>
      </c>
      <c r="F5963" s="294"/>
      <c r="G5963" s="1563" t="s">
        <v>4737</v>
      </c>
      <c r="H5963" s="360" t="s">
        <v>4726</v>
      </c>
      <c r="I5963" s="309"/>
      <c r="J5963" s="388"/>
      <c r="K5963" s="291"/>
      <c r="L5963" s="291"/>
      <c r="M5963" s="291"/>
      <c r="S5963" s="364"/>
      <c r="Z5963" s="609">
        <v>7111</v>
      </c>
      <c r="AA5963" s="609"/>
    </row>
    <row r="5964" spans="1:27" ht="18">
      <c r="A5964" s="2714"/>
      <c r="B5964" s="371">
        <v>104</v>
      </c>
      <c r="C5964" s="371" t="s">
        <v>2791</v>
      </c>
      <c r="D5964" s="2716">
        <f t="shared" si="634"/>
        <v>1</v>
      </c>
      <c r="E5964" s="2721">
        <v>1</v>
      </c>
      <c r="F5964" s="294"/>
      <c r="G5964" s="1563" t="s">
        <v>4738</v>
      </c>
      <c r="H5964" s="360" t="s">
        <v>4726</v>
      </c>
      <c r="I5964" s="309"/>
      <c r="J5964" s="388"/>
      <c r="K5964" s="291"/>
      <c r="L5964" s="291"/>
      <c r="M5964" s="291"/>
      <c r="S5964" s="364"/>
      <c r="Z5964" s="609">
        <v>7111</v>
      </c>
      <c r="AA5964" s="609"/>
    </row>
    <row r="5965" spans="1:27" ht="18">
      <c r="A5965" s="2714"/>
      <c r="B5965" s="371">
        <v>105</v>
      </c>
      <c r="C5965" s="371" t="s">
        <v>2791</v>
      </c>
      <c r="D5965" s="2716">
        <f t="shared" si="634"/>
        <v>1</v>
      </c>
      <c r="E5965" s="2721">
        <v>1</v>
      </c>
      <c r="F5965" s="294"/>
      <c r="G5965" s="1563" t="s">
        <v>4739</v>
      </c>
      <c r="H5965" s="360" t="s">
        <v>4726</v>
      </c>
      <c r="I5965" s="309"/>
      <c r="J5965" s="388"/>
      <c r="K5965" s="291"/>
      <c r="L5965" s="291"/>
      <c r="M5965" s="291"/>
      <c r="S5965" s="364"/>
      <c r="Z5965" s="609">
        <v>7111</v>
      </c>
      <c r="AA5965" s="609"/>
    </row>
    <row r="5966" spans="1:27" ht="24">
      <c r="A5966" s="2714"/>
      <c r="B5966" s="371">
        <v>106</v>
      </c>
      <c r="C5966" s="371" t="s">
        <v>2791</v>
      </c>
      <c r="D5966" s="2716">
        <f t="shared" si="634"/>
        <v>1</v>
      </c>
      <c r="E5966" s="2721">
        <v>-1</v>
      </c>
      <c r="F5966" s="294"/>
      <c r="G5966" s="1563" t="s">
        <v>4740</v>
      </c>
      <c r="H5966" s="360" t="s">
        <v>4741</v>
      </c>
      <c r="I5966" s="309"/>
      <c r="J5966" s="388"/>
      <c r="K5966" s="291"/>
      <c r="L5966" s="291"/>
      <c r="M5966" s="291"/>
      <c r="S5966" s="364"/>
      <c r="Z5966" s="609">
        <v>7111</v>
      </c>
      <c r="AA5966" s="609"/>
    </row>
    <row r="5967" spans="1:27" ht="18">
      <c r="A5967" s="2714"/>
      <c r="B5967" s="371">
        <v>107</v>
      </c>
      <c r="C5967" s="371" t="s">
        <v>2791</v>
      </c>
      <c r="D5967" s="2716">
        <f t="shared" si="634"/>
        <v>1</v>
      </c>
      <c r="E5967" s="2721">
        <v>-1</v>
      </c>
      <c r="F5967" s="294"/>
      <c r="G5967" s="1563" t="s">
        <v>4742</v>
      </c>
      <c r="H5967" s="360" t="s">
        <v>4741</v>
      </c>
      <c r="I5967" s="309"/>
      <c r="J5967" s="388"/>
      <c r="K5967" s="291"/>
      <c r="L5967" s="291"/>
      <c r="M5967" s="291"/>
      <c r="S5967" s="364"/>
      <c r="Z5967" s="609">
        <v>7111</v>
      </c>
      <c r="AA5967" s="609"/>
    </row>
    <row r="5968" spans="1:27" ht="18">
      <c r="A5968" s="2714"/>
      <c r="B5968" s="371">
        <v>108</v>
      </c>
      <c r="C5968" s="371" t="s">
        <v>2791</v>
      </c>
      <c r="D5968" s="2716">
        <f t="shared" si="634"/>
        <v>1</v>
      </c>
      <c r="E5968" s="2721">
        <v>-1</v>
      </c>
      <c r="F5968" s="294"/>
      <c r="G5968" s="1563" t="s">
        <v>4743</v>
      </c>
      <c r="H5968" s="360" t="s">
        <v>4741</v>
      </c>
      <c r="I5968" s="309"/>
      <c r="J5968" s="388"/>
      <c r="K5968" s="291"/>
      <c r="L5968" s="291"/>
      <c r="M5968" s="291"/>
      <c r="S5968" s="364"/>
      <c r="Z5968" s="609">
        <v>7111</v>
      </c>
      <c r="AA5968" s="609"/>
    </row>
    <row r="5969" spans="1:27" ht="18">
      <c r="A5969" s="2714"/>
      <c r="B5969" s="371">
        <v>109</v>
      </c>
      <c r="C5969" s="371" t="s">
        <v>2791</v>
      </c>
      <c r="D5969" s="2716">
        <f t="shared" si="634"/>
        <v>1</v>
      </c>
      <c r="E5969" s="2721">
        <v>1</v>
      </c>
      <c r="F5969" s="294"/>
      <c r="G5969" s="1563" t="s">
        <v>4744</v>
      </c>
      <c r="H5969" s="360" t="s">
        <v>4726</v>
      </c>
      <c r="I5969" s="309"/>
      <c r="J5969" s="388"/>
      <c r="K5969" s="291"/>
      <c r="L5969" s="291"/>
      <c r="M5969" s="291"/>
      <c r="S5969" s="364"/>
      <c r="Z5969" s="609">
        <v>7111</v>
      </c>
      <c r="AA5969" s="609"/>
    </row>
    <row r="5970" spans="1:27" ht="18">
      <c r="A5970" s="2714"/>
      <c r="B5970" s="371">
        <v>110</v>
      </c>
      <c r="C5970" s="371" t="s">
        <v>2791</v>
      </c>
      <c r="D5970" s="2716">
        <f t="shared" si="634"/>
        <v>1</v>
      </c>
      <c r="E5970" s="2721">
        <v>-1</v>
      </c>
      <c r="F5970" s="294"/>
      <c r="G5970" s="1563" t="s">
        <v>4745</v>
      </c>
      <c r="H5970" s="360" t="s">
        <v>4741</v>
      </c>
      <c r="I5970" s="309"/>
      <c r="J5970" s="388"/>
      <c r="K5970" s="291"/>
      <c r="L5970" s="291"/>
      <c r="M5970" s="291"/>
      <c r="S5970" s="364"/>
      <c r="Z5970" s="609">
        <v>7111</v>
      </c>
      <c r="AA5970" s="609"/>
    </row>
    <row r="5971" spans="1:27" ht="24">
      <c r="A5971" s="2714"/>
      <c r="B5971" s="371">
        <v>111</v>
      </c>
      <c r="C5971" s="371" t="s">
        <v>2791</v>
      </c>
      <c r="D5971" s="2716">
        <f t="shared" si="634"/>
        <v>1</v>
      </c>
      <c r="E5971" s="2721">
        <v>1</v>
      </c>
      <c r="F5971" s="294"/>
      <c r="G5971" s="1563" t="s">
        <v>4746</v>
      </c>
      <c r="H5971" s="360" t="s">
        <v>4726</v>
      </c>
      <c r="I5971" s="309"/>
      <c r="J5971" s="388"/>
      <c r="K5971" s="291"/>
      <c r="L5971" s="291"/>
      <c r="M5971" s="291"/>
      <c r="S5971" s="364"/>
      <c r="Z5971" s="609">
        <v>7111</v>
      </c>
      <c r="AA5971" s="609"/>
    </row>
    <row r="5972" spans="1:27" ht="18">
      <c r="A5972" s="2714"/>
      <c r="B5972" s="371">
        <v>112</v>
      </c>
      <c r="C5972" s="371" t="s">
        <v>2791</v>
      </c>
      <c r="D5972" s="2716">
        <f t="shared" si="634"/>
        <v>1</v>
      </c>
      <c r="E5972" s="2721">
        <v>1</v>
      </c>
      <c r="F5972" s="294"/>
      <c r="G5972" s="1563" t="s">
        <v>932</v>
      </c>
      <c r="H5972" s="360" t="s">
        <v>4726</v>
      </c>
      <c r="I5972" s="309"/>
      <c r="J5972" s="388"/>
      <c r="K5972" s="291"/>
      <c r="L5972" s="291"/>
      <c r="M5972" s="291"/>
      <c r="S5972" s="364"/>
      <c r="Z5972" s="609">
        <v>7111</v>
      </c>
      <c r="AA5972" s="609"/>
    </row>
    <row r="5973" spans="1:27" ht="18">
      <c r="A5973" s="2714"/>
      <c r="B5973" s="371">
        <v>113</v>
      </c>
      <c r="C5973" s="371" t="s">
        <v>2791</v>
      </c>
      <c r="D5973" s="2716">
        <f t="shared" si="634"/>
        <v>0</v>
      </c>
      <c r="E5973" s="2721">
        <v>1</v>
      </c>
      <c r="F5973" s="294"/>
      <c r="G5973" s="1563" t="s">
        <v>2792</v>
      </c>
      <c r="H5973" s="360"/>
      <c r="I5973" s="309"/>
      <c r="J5973" s="388"/>
      <c r="K5973" s="291"/>
      <c r="L5973" s="291"/>
      <c r="M5973" s="291"/>
      <c r="S5973" s="364"/>
      <c r="Z5973" s="609">
        <v>7111</v>
      </c>
      <c r="AA5973" s="609"/>
    </row>
    <row r="5974" spans="1:27" ht="18.75" thickBot="1">
      <c r="A5974" s="2714"/>
      <c r="B5974" s="371"/>
      <c r="C5974" s="371"/>
      <c r="D5974" s="2716">
        <f t="shared" si="634"/>
        <v>1</v>
      </c>
      <c r="E5974" s="2721" t="s">
        <v>2751</v>
      </c>
      <c r="F5974" s="294"/>
      <c r="G5974" s="1529" t="s">
        <v>2752</v>
      </c>
      <c r="H5974" s="1570"/>
      <c r="I5974" s="1527">
        <f>SUMPRODUCT($E5960:$E5973,I5960:I5973)</f>
        <v>0</v>
      </c>
      <c r="J5974" s="1571"/>
      <c r="K5974" s="291"/>
      <c r="L5974" s="291"/>
      <c r="M5974" s="291"/>
      <c r="S5974" s="364"/>
      <c r="Z5974" s="609">
        <v>7111</v>
      </c>
      <c r="AA5974" s="609"/>
    </row>
    <row r="5975" spans="1:27" ht="18">
      <c r="A5975" s="2714"/>
      <c r="B5975" s="371"/>
      <c r="C5975" s="371" t="s">
        <v>2755</v>
      </c>
      <c r="D5975" s="371"/>
      <c r="F5975" s="294"/>
      <c r="G5975" s="301"/>
      <c r="H5975" s="393"/>
      <c r="I5975" s="315"/>
      <c r="J5975" s="393"/>
      <c r="K5975" s="291"/>
      <c r="L5975" s="291"/>
      <c r="M5975" s="291"/>
      <c r="S5975" s="364"/>
      <c r="Z5975" s="609">
        <v>7111</v>
      </c>
      <c r="AA5975" s="609"/>
    </row>
    <row r="5976" spans="1:27" ht="18">
      <c r="A5976" s="2714">
        <v>7151</v>
      </c>
      <c r="B5976" s="371">
        <v>78.78</v>
      </c>
      <c r="C5976" s="2716" t="str">
        <f>VLOOKUP($A5976,Sheet_Items,2,0)</f>
        <v>购置固定资产无形资产长期资产支付的现金</v>
      </c>
      <c r="D5976" s="371"/>
      <c r="E5976" s="2716" t="s">
        <v>2739</v>
      </c>
      <c r="F5976" s="294"/>
      <c r="G5976" s="536" t="str">
        <f>B5976&amp;" "&amp;C5976</f>
        <v>78.78 购置固定资产无形资产长期资产支付的现金</v>
      </c>
      <c r="H5976" s="322"/>
      <c r="I5976" s="322"/>
      <c r="J5976" s="306" t="s">
        <v>4206</v>
      </c>
      <c r="K5976" s="341">
        <f>VLOOKUP($A5976,Sheet_Trialbal,6,0)</f>
        <v>0</v>
      </c>
      <c r="L5976" s="342"/>
      <c r="M5976" s="306"/>
      <c r="N5976" s="341"/>
      <c r="O5976" s="306"/>
      <c r="P5976" s="301"/>
      <c r="S5976" s="364"/>
      <c r="Z5976" s="609">
        <v>7151</v>
      </c>
      <c r="AA5976" s="609"/>
    </row>
    <row r="5977" spans="1:27" ht="24">
      <c r="A5977" s="2714" t="s">
        <v>1973</v>
      </c>
      <c r="B5977" s="371">
        <v>1</v>
      </c>
      <c r="C5977" s="371"/>
      <c r="D5977" s="2716" t="str">
        <f>VLOOKUP($A5977,Sheet_NoteList,2,0)</f>
        <v>购置固定资产无形资产长期资产支付的现金计算表</v>
      </c>
      <c r="E5977" s="2716" t="s">
        <v>2742</v>
      </c>
      <c r="F5977" s="294"/>
      <c r="G5977" s="483" t="str">
        <f>"("&amp;B5977&amp;")"&amp;D5977</f>
        <v>(1)购置固定资产无形资产长期资产支付的现金计算表</v>
      </c>
      <c r="H5977" s="1517" t="str">
        <f>$A5977</f>
        <v>7151x</v>
      </c>
      <c r="I5977" s="343" t="s">
        <v>2743</v>
      </c>
      <c r="J5977" s="301" t="s">
        <v>4712</v>
      </c>
      <c r="K5977" s="2210">
        <f>I5995</f>
        <v>0</v>
      </c>
      <c r="L5977" s="345" t="str">
        <f>IF(ROUND(K5976-K5977,2)=0,"F/S",ROUND(K5976-K5977,2))</f>
        <v>F/S</v>
      </c>
      <c r="M5977" s="532" t="s">
        <v>4713</v>
      </c>
      <c r="N5977" s="3081"/>
      <c r="O5977" s="315"/>
      <c r="P5977" s="301"/>
      <c r="S5977" s="364"/>
      <c r="Z5977" s="609">
        <v>7151</v>
      </c>
      <c r="AA5977" s="609"/>
    </row>
    <row r="5978" spans="1:27" ht="0.75" customHeight="1" thickBot="1">
      <c r="A5978" s="2714"/>
      <c r="B5978" s="371"/>
      <c r="C5978" s="371"/>
      <c r="D5978" s="371"/>
      <c r="F5978" s="371"/>
      <c r="G5978" s="340" t="s">
        <v>4747</v>
      </c>
      <c r="H5978" s="340" t="s">
        <v>4715</v>
      </c>
      <c r="I5978" s="340" t="s">
        <v>4716</v>
      </c>
      <c r="J5978" s="340" t="s">
        <v>3671</v>
      </c>
      <c r="K5978" s="291"/>
      <c r="L5978" s="291"/>
      <c r="M5978" s="291"/>
      <c r="S5978" s="364"/>
      <c r="Z5978" s="609">
        <v>7151</v>
      </c>
      <c r="AA5978" s="609"/>
    </row>
    <row r="5979" spans="1:27" ht="18">
      <c r="A5979" s="2714"/>
      <c r="B5979" s="371"/>
      <c r="C5979" s="371"/>
      <c r="D5979" s="371"/>
      <c r="E5979" s="2716" t="s">
        <v>2749</v>
      </c>
      <c r="F5979" s="294"/>
      <c r="G5979" s="1564" t="s">
        <v>47</v>
      </c>
      <c r="H5979" s="1565" t="s">
        <v>4717</v>
      </c>
      <c r="I5979" s="1565" t="s">
        <v>2887</v>
      </c>
      <c r="J5979" s="1566" t="s">
        <v>2758</v>
      </c>
      <c r="K5979" s="291"/>
      <c r="L5979" s="291"/>
      <c r="M5979" s="291"/>
      <c r="S5979" s="364"/>
      <c r="Z5979" s="609">
        <v>7151</v>
      </c>
      <c r="AA5979" s="609"/>
    </row>
    <row r="5980" spans="1:27" ht="18">
      <c r="A5980" s="2714"/>
      <c r="B5980" s="371">
        <v>101</v>
      </c>
      <c r="C5980" s="371" t="s">
        <v>2791</v>
      </c>
      <c r="D5980" s="2716">
        <f t="shared" ref="D5980:D5995" si="635">IF(OR(G5980="*",G5980="",G5980=0),0,COUNTIF($G$5980:$G$5995,G5980))</f>
        <v>1</v>
      </c>
      <c r="E5980" s="2721">
        <v>1</v>
      </c>
      <c r="F5980" s="294"/>
      <c r="G5980" s="1563" t="s">
        <v>4748</v>
      </c>
      <c r="H5980" s="360" t="s">
        <v>4726</v>
      </c>
      <c r="I5980" s="309"/>
      <c r="J5980" s="388"/>
      <c r="K5980" s="291"/>
      <c r="L5980" s="291"/>
      <c r="M5980" s="291"/>
      <c r="S5980" s="364"/>
      <c r="Z5980" s="609">
        <v>7151</v>
      </c>
      <c r="AA5980" s="609"/>
    </row>
    <row r="5981" spans="1:27" ht="18">
      <c r="A5981" s="2714"/>
      <c r="B5981" s="371">
        <v>102</v>
      </c>
      <c r="C5981" s="371" t="s">
        <v>2791</v>
      </c>
      <c r="D5981" s="2716">
        <f t="shared" si="635"/>
        <v>1</v>
      </c>
      <c r="E5981" s="2721">
        <v>1</v>
      </c>
      <c r="F5981" s="294"/>
      <c r="G5981" s="1563" t="s">
        <v>4749</v>
      </c>
      <c r="H5981" s="360" t="s">
        <v>4726</v>
      </c>
      <c r="I5981" s="309"/>
      <c r="J5981" s="388"/>
      <c r="K5981" s="291"/>
      <c r="L5981" s="291"/>
      <c r="M5981" s="291"/>
      <c r="S5981" s="364"/>
      <c r="Z5981" s="609">
        <v>7151</v>
      </c>
      <c r="AA5981" s="609"/>
    </row>
    <row r="5982" spans="1:27" ht="18">
      <c r="A5982" s="2714"/>
      <c r="B5982" s="371">
        <v>103</v>
      </c>
      <c r="C5982" s="371" t="s">
        <v>2791</v>
      </c>
      <c r="D5982" s="2716">
        <f t="shared" si="635"/>
        <v>1</v>
      </c>
      <c r="E5982" s="2721">
        <v>1</v>
      </c>
      <c r="F5982" s="294"/>
      <c r="G5982" s="1563" t="s">
        <v>4750</v>
      </c>
      <c r="H5982" s="360" t="s">
        <v>4726</v>
      </c>
      <c r="I5982" s="309"/>
      <c r="J5982" s="388"/>
      <c r="K5982" s="291"/>
      <c r="L5982" s="291"/>
      <c r="M5982" s="291"/>
      <c r="S5982" s="364"/>
      <c r="Z5982" s="609">
        <v>7151</v>
      </c>
      <c r="AA5982" s="609"/>
    </row>
    <row r="5983" spans="1:27" ht="36">
      <c r="A5983" s="2714"/>
      <c r="B5983" s="371">
        <v>104</v>
      </c>
      <c r="C5983" s="371" t="s">
        <v>2791</v>
      </c>
      <c r="D5983" s="2716">
        <f t="shared" si="635"/>
        <v>1</v>
      </c>
      <c r="E5983" s="2721">
        <v>1</v>
      </c>
      <c r="F5983" s="294"/>
      <c r="G5983" s="1591" t="s">
        <v>5523</v>
      </c>
      <c r="H5983" s="360" t="s">
        <v>4726</v>
      </c>
      <c r="I5983" s="309"/>
      <c r="J5983" s="388"/>
      <c r="K5983" s="291"/>
      <c r="L5983" s="291"/>
      <c r="M5983" s="291"/>
      <c r="S5983" s="364"/>
      <c r="Z5983" s="609">
        <v>7151</v>
      </c>
      <c r="AA5983" s="609"/>
    </row>
    <row r="5984" spans="1:27" ht="18">
      <c r="A5984" s="2714"/>
      <c r="B5984" s="371">
        <v>105</v>
      </c>
      <c r="C5984" s="371" t="s">
        <v>2791</v>
      </c>
      <c r="D5984" s="2716">
        <f t="shared" si="635"/>
        <v>1</v>
      </c>
      <c r="E5984" s="2721">
        <v>1</v>
      </c>
      <c r="F5984" s="294"/>
      <c r="G5984" s="1563" t="s">
        <v>4751</v>
      </c>
      <c r="H5984" s="360" t="s">
        <v>4726</v>
      </c>
      <c r="I5984" s="309"/>
      <c r="J5984" s="388"/>
      <c r="K5984" s="291"/>
      <c r="L5984" s="291"/>
      <c r="M5984" s="291"/>
      <c r="S5984" s="364"/>
      <c r="Z5984" s="609">
        <v>7151</v>
      </c>
      <c r="AA5984" s="609"/>
    </row>
    <row r="5985" spans="1:27" ht="18">
      <c r="A5985" s="2714"/>
      <c r="B5985" s="371">
        <v>106</v>
      </c>
      <c r="C5985" s="371" t="s">
        <v>2791</v>
      </c>
      <c r="D5985" s="2716">
        <f t="shared" si="635"/>
        <v>1</v>
      </c>
      <c r="E5985" s="2721">
        <v>1</v>
      </c>
      <c r="F5985" s="294"/>
      <c r="G5985" s="1563" t="s">
        <v>4752</v>
      </c>
      <c r="H5985" s="360" t="s">
        <v>4726</v>
      </c>
      <c r="I5985" s="309"/>
      <c r="J5985" s="388"/>
      <c r="K5985" s="291"/>
      <c r="L5985" s="291"/>
      <c r="M5985" s="291"/>
      <c r="S5985" s="364"/>
      <c r="Z5985" s="609">
        <v>7151</v>
      </c>
      <c r="AA5985" s="609"/>
    </row>
    <row r="5986" spans="1:27" ht="18">
      <c r="A5986" s="2714"/>
      <c r="B5986" s="371">
        <v>107</v>
      </c>
      <c r="C5986" s="371" t="s">
        <v>2791</v>
      </c>
      <c r="D5986" s="2716">
        <f t="shared" si="635"/>
        <v>1</v>
      </c>
      <c r="E5986" s="2721">
        <v>1</v>
      </c>
      <c r="F5986" s="294"/>
      <c r="G5986" s="1563" t="s">
        <v>4753</v>
      </c>
      <c r="H5986" s="360" t="s">
        <v>4726</v>
      </c>
      <c r="I5986" s="309"/>
      <c r="J5986" s="388"/>
      <c r="K5986" s="291"/>
      <c r="L5986" s="291"/>
      <c r="M5986" s="291"/>
      <c r="S5986" s="364"/>
      <c r="Z5986" s="609">
        <v>7151</v>
      </c>
      <c r="AA5986" s="609"/>
    </row>
    <row r="5987" spans="1:27" ht="18">
      <c r="A5987" s="2714"/>
      <c r="B5987" s="371">
        <v>108</v>
      </c>
      <c r="C5987" s="371" t="s">
        <v>2791</v>
      </c>
      <c r="D5987" s="2716">
        <f t="shared" si="635"/>
        <v>1</v>
      </c>
      <c r="E5987" s="2721">
        <v>1</v>
      </c>
      <c r="F5987" s="294"/>
      <c r="G5987" s="1563" t="s">
        <v>4754</v>
      </c>
      <c r="H5987" s="360" t="s">
        <v>4726</v>
      </c>
      <c r="I5987" s="309"/>
      <c r="J5987" s="388"/>
      <c r="K5987" s="291"/>
      <c r="L5987" s="291"/>
      <c r="M5987" s="291"/>
      <c r="S5987" s="364"/>
      <c r="Z5987" s="609">
        <v>7151</v>
      </c>
      <c r="AA5987" s="609"/>
    </row>
    <row r="5988" spans="1:27" ht="24">
      <c r="A5988" s="2714"/>
      <c r="B5988" s="371">
        <v>109</v>
      </c>
      <c r="C5988" s="371" t="s">
        <v>2791</v>
      </c>
      <c r="D5988" s="2716">
        <f t="shared" si="635"/>
        <v>1</v>
      </c>
      <c r="E5988" s="2721">
        <v>-1</v>
      </c>
      <c r="F5988" s="294"/>
      <c r="G5988" s="1563" t="s">
        <v>4740</v>
      </c>
      <c r="H5988" s="360" t="s">
        <v>4741</v>
      </c>
      <c r="I5988" s="309"/>
      <c r="J5988" s="388"/>
      <c r="K5988" s="291"/>
      <c r="L5988" s="291"/>
      <c r="M5988" s="291"/>
      <c r="S5988" s="364"/>
      <c r="Z5988" s="609">
        <v>7151</v>
      </c>
      <c r="AA5988" s="609"/>
    </row>
    <row r="5989" spans="1:27" ht="24">
      <c r="A5989" s="2714"/>
      <c r="B5989" s="371">
        <v>110</v>
      </c>
      <c r="C5989" s="371" t="s">
        <v>2791</v>
      </c>
      <c r="D5989" s="2716">
        <f t="shared" si="635"/>
        <v>1</v>
      </c>
      <c r="E5989" s="2721">
        <v>-1</v>
      </c>
      <c r="F5989" s="294"/>
      <c r="G5989" s="1563" t="s">
        <v>4755</v>
      </c>
      <c r="H5989" s="360" t="s">
        <v>4741</v>
      </c>
      <c r="I5989" s="309"/>
      <c r="J5989" s="388"/>
      <c r="K5989" s="291"/>
      <c r="L5989" s="291"/>
      <c r="M5989" s="291"/>
      <c r="S5989" s="364"/>
      <c r="Z5989" s="609">
        <v>7151</v>
      </c>
      <c r="AA5989" s="609"/>
    </row>
    <row r="5990" spans="1:27" ht="24">
      <c r="A5990" s="2714"/>
      <c r="B5990" s="371">
        <v>111</v>
      </c>
      <c r="C5990" s="371" t="s">
        <v>2791</v>
      </c>
      <c r="D5990" s="2716">
        <f t="shared" si="635"/>
        <v>1</v>
      </c>
      <c r="E5990" s="2721">
        <v>-1</v>
      </c>
      <c r="F5990" s="294"/>
      <c r="G5990" s="1563" t="s">
        <v>4756</v>
      </c>
      <c r="H5990" s="360" t="s">
        <v>4741</v>
      </c>
      <c r="I5990" s="309"/>
      <c r="J5990" s="388"/>
      <c r="K5990" s="291"/>
      <c r="L5990" s="291"/>
      <c r="M5990" s="291"/>
      <c r="S5990" s="364"/>
      <c r="Z5990" s="609">
        <v>7151</v>
      </c>
      <c r="AA5990" s="609"/>
    </row>
    <row r="5991" spans="1:27" ht="24">
      <c r="A5991" s="2714"/>
      <c r="B5991" s="371">
        <v>112</v>
      </c>
      <c r="C5991" s="371" t="s">
        <v>2791</v>
      </c>
      <c r="D5991" s="2716">
        <f t="shared" si="635"/>
        <v>1</v>
      </c>
      <c r="E5991" s="2721">
        <v>-1</v>
      </c>
      <c r="F5991" s="294"/>
      <c r="G5991" s="1563" t="s">
        <v>4757</v>
      </c>
      <c r="H5991" s="360" t="s">
        <v>4741</v>
      </c>
      <c r="I5991" s="309"/>
      <c r="J5991" s="388"/>
      <c r="K5991" s="291"/>
      <c r="L5991" s="291"/>
      <c r="M5991" s="291"/>
      <c r="S5991" s="364"/>
      <c r="Z5991" s="609">
        <v>7151</v>
      </c>
      <c r="AA5991" s="609"/>
    </row>
    <row r="5992" spans="1:27" ht="24">
      <c r="A5992" s="2714"/>
      <c r="B5992" s="371">
        <v>113</v>
      </c>
      <c r="C5992" s="371" t="s">
        <v>2791</v>
      </c>
      <c r="D5992" s="2716">
        <f t="shared" si="635"/>
        <v>1</v>
      </c>
      <c r="E5992" s="2721">
        <v>-1</v>
      </c>
      <c r="F5992" s="294"/>
      <c r="G5992" s="1563" t="s">
        <v>4758</v>
      </c>
      <c r="H5992" s="360" t="s">
        <v>4741</v>
      </c>
      <c r="I5992" s="309"/>
      <c r="J5992" s="388"/>
      <c r="K5992" s="291"/>
      <c r="L5992" s="291"/>
      <c r="M5992" s="291"/>
      <c r="S5992" s="364"/>
      <c r="Z5992" s="609">
        <v>7151</v>
      </c>
      <c r="AA5992" s="609"/>
    </row>
    <row r="5993" spans="1:27" ht="18">
      <c r="A5993" s="2714"/>
      <c r="B5993" s="371">
        <v>114</v>
      </c>
      <c r="C5993" s="371" t="s">
        <v>2791</v>
      </c>
      <c r="D5993" s="2716">
        <f t="shared" si="635"/>
        <v>1</v>
      </c>
      <c r="E5993" s="2721">
        <v>1</v>
      </c>
      <c r="F5993" s="294"/>
      <c r="G5993" s="1563" t="s">
        <v>932</v>
      </c>
      <c r="H5993" s="360" t="s">
        <v>4726</v>
      </c>
      <c r="I5993" s="309"/>
      <c r="J5993" s="388"/>
      <c r="K5993" s="291"/>
      <c r="L5993" s="291"/>
      <c r="M5993" s="291"/>
      <c r="S5993" s="364"/>
      <c r="Z5993" s="609">
        <v>7151</v>
      </c>
      <c r="AA5993" s="609"/>
    </row>
    <row r="5994" spans="1:27" ht="18">
      <c r="A5994" s="2714"/>
      <c r="B5994" s="371">
        <v>115</v>
      </c>
      <c r="C5994" s="371" t="s">
        <v>2791</v>
      </c>
      <c r="D5994" s="2716">
        <f t="shared" si="635"/>
        <v>0</v>
      </c>
      <c r="E5994" s="2721">
        <v>1</v>
      </c>
      <c r="F5994" s="294"/>
      <c r="G5994" s="1563" t="s">
        <v>2792</v>
      </c>
      <c r="H5994" s="360"/>
      <c r="I5994" s="309"/>
      <c r="J5994" s="388"/>
      <c r="K5994" s="291"/>
      <c r="L5994" s="291"/>
      <c r="M5994" s="291"/>
      <c r="S5994" s="364"/>
      <c r="Z5994" s="609">
        <v>7151</v>
      </c>
      <c r="AA5994" s="609"/>
    </row>
    <row r="5995" spans="1:27" ht="18.75" thickBot="1">
      <c r="A5995" s="2714"/>
      <c r="B5995" s="371"/>
      <c r="C5995" s="371"/>
      <c r="D5995" s="2716">
        <f t="shared" si="635"/>
        <v>1</v>
      </c>
      <c r="E5995" s="2721" t="s">
        <v>2751</v>
      </c>
      <c r="F5995" s="294"/>
      <c r="G5995" s="1529" t="s">
        <v>2752</v>
      </c>
      <c r="H5995" s="1570"/>
      <c r="I5995" s="1527">
        <f>SUMPRODUCT($E5979:$E5994,I5979:I5994)</f>
        <v>0</v>
      </c>
      <c r="J5995" s="1571"/>
      <c r="K5995" s="291"/>
      <c r="L5995" s="291"/>
      <c r="M5995" s="291"/>
      <c r="S5995" s="364"/>
      <c r="Z5995" s="609">
        <v>7151</v>
      </c>
      <c r="AA5995" s="609"/>
    </row>
    <row r="5996" spans="1:27" ht="18">
      <c r="A5996" s="2714"/>
      <c r="B5996" s="371"/>
      <c r="C5996" s="371" t="s">
        <v>2755</v>
      </c>
      <c r="D5996" s="371"/>
      <c r="F5996" s="294"/>
      <c r="G5996" s="301"/>
      <c r="H5996" s="393"/>
      <c r="I5996" s="315"/>
      <c r="J5996" s="393"/>
      <c r="K5996" s="291"/>
      <c r="L5996" s="291"/>
      <c r="M5996" s="291"/>
      <c r="S5996" s="364"/>
      <c r="Z5996" s="609">
        <v>7151</v>
      </c>
      <c r="AA5996" s="609"/>
    </row>
    <row r="5997" spans="1:27" ht="18">
      <c r="A5997" s="2714">
        <v>7161</v>
      </c>
      <c r="B5997" s="371">
        <v>78.790000000000006</v>
      </c>
      <c r="C5997" s="2716" t="str">
        <f>VLOOKUP($A5997,Sheet_Items,2,0)</f>
        <v>投资支付的现金</v>
      </c>
      <c r="D5997" s="371"/>
      <c r="E5997" s="2716" t="s">
        <v>2739</v>
      </c>
      <c r="F5997" s="294"/>
      <c r="G5997" s="536" t="str">
        <f>B5997&amp;" "&amp;C5997</f>
        <v>78.79 投资支付的现金</v>
      </c>
      <c r="H5997" s="322"/>
      <c r="I5997" s="322"/>
      <c r="J5997" s="306" t="s">
        <v>4206</v>
      </c>
      <c r="K5997" s="341">
        <f>VLOOKUP($A5997,Sheet_Trialbal,6,0)</f>
        <v>0</v>
      </c>
      <c r="L5997" s="342"/>
      <c r="M5997" s="306"/>
      <c r="N5997" s="341"/>
      <c r="O5997" s="306"/>
      <c r="P5997" s="301"/>
      <c r="S5997" s="364"/>
      <c r="Z5997" s="609">
        <v>7161</v>
      </c>
      <c r="AA5997" s="609"/>
    </row>
    <row r="5998" spans="1:27" ht="18">
      <c r="A5998" s="2714" t="s">
        <v>1975</v>
      </c>
      <c r="B5998" s="371">
        <v>1</v>
      </c>
      <c r="C5998" s="371"/>
      <c r="D5998" s="2716" t="str">
        <f>VLOOKUP($A5998,Sheet_NoteList,2,0)</f>
        <v>投资支付的现金计算表</v>
      </c>
      <c r="E5998" s="2716" t="s">
        <v>2742</v>
      </c>
      <c r="F5998" s="294"/>
      <c r="G5998" s="483" t="str">
        <f>"("&amp;B5998&amp;")"&amp;D5998</f>
        <v>(1)投资支付的现金计算表</v>
      </c>
      <c r="H5998" s="1517" t="str">
        <f>$A5998</f>
        <v>7161x</v>
      </c>
      <c r="I5998" s="343" t="s">
        <v>2743</v>
      </c>
      <c r="J5998" s="301" t="s">
        <v>4712</v>
      </c>
      <c r="K5998" s="2210">
        <f>I6006</f>
        <v>0</v>
      </c>
      <c r="L5998" s="345" t="str">
        <f>IF(ROUND(K5997-K5998,2)=0,"F/S",ROUND(K5997-K5998,2))</f>
        <v>F/S</v>
      </c>
      <c r="M5998" s="532" t="s">
        <v>4713</v>
      </c>
      <c r="N5998" s="3081"/>
      <c r="O5998" s="315"/>
      <c r="P5998" s="301"/>
      <c r="S5998" s="364"/>
      <c r="Z5998" s="609">
        <v>7161</v>
      </c>
      <c r="AA5998" s="609"/>
    </row>
    <row r="5999" spans="1:27" ht="0.75" customHeight="1" thickBot="1">
      <c r="A5999" s="2714"/>
      <c r="B5999" s="371"/>
      <c r="C5999" s="371"/>
      <c r="D5999" s="371"/>
      <c r="F5999" s="371"/>
      <c r="G5999" s="371" t="s">
        <v>4759</v>
      </c>
      <c r="H5999" s="371" t="s">
        <v>4715</v>
      </c>
      <c r="I5999" s="371" t="s">
        <v>4716</v>
      </c>
      <c r="J5999" s="371" t="s">
        <v>3671</v>
      </c>
      <c r="K5999" s="291"/>
      <c r="L5999" s="291"/>
      <c r="M5999" s="291"/>
      <c r="S5999" s="364"/>
      <c r="Z5999" s="609">
        <v>7161</v>
      </c>
      <c r="AA5999" s="609"/>
    </row>
    <row r="6000" spans="1:27" ht="18">
      <c r="A6000" s="2714"/>
      <c r="B6000" s="371"/>
      <c r="C6000" s="371"/>
      <c r="D6000" s="371"/>
      <c r="E6000" s="2716" t="s">
        <v>2749</v>
      </c>
      <c r="F6000" s="294"/>
      <c r="G6000" s="1564" t="s">
        <v>47</v>
      </c>
      <c r="H6000" s="1565" t="s">
        <v>4717</v>
      </c>
      <c r="I6000" s="1565" t="s">
        <v>2887</v>
      </c>
      <c r="J6000" s="1566" t="s">
        <v>2758</v>
      </c>
      <c r="K6000" s="291"/>
      <c r="L6000" s="291"/>
      <c r="M6000" s="291"/>
      <c r="S6000" s="364"/>
      <c r="Z6000" s="609">
        <v>7161</v>
      </c>
      <c r="AA6000" s="609"/>
    </row>
    <row r="6001" spans="1:27" ht="18">
      <c r="A6001" s="2714"/>
      <c r="B6001" s="371">
        <v>101</v>
      </c>
      <c r="C6001" s="371" t="s">
        <v>2791</v>
      </c>
      <c r="D6001" s="2716">
        <f t="shared" ref="D6001:D6006" si="636">IF(OR(G6001="*",G6001="",G6001=0),0,COUNTIF($G$6001:$G$6006,G6001))</f>
        <v>1</v>
      </c>
      <c r="E6001" s="2721">
        <v>1</v>
      </c>
      <c r="F6001" s="294"/>
      <c r="G6001" s="1563" t="s">
        <v>4760</v>
      </c>
      <c r="H6001" s="360" t="s">
        <v>4726</v>
      </c>
      <c r="I6001" s="309"/>
      <c r="J6001" s="388"/>
      <c r="K6001" s="291"/>
      <c r="L6001" s="291"/>
      <c r="M6001" s="291"/>
      <c r="S6001" s="364"/>
      <c r="Z6001" s="609">
        <v>7161</v>
      </c>
      <c r="AA6001" s="609"/>
    </row>
    <row r="6002" spans="1:27" ht="18">
      <c r="A6002" s="2714"/>
      <c r="B6002" s="371">
        <v>102</v>
      </c>
      <c r="C6002" s="371" t="s">
        <v>2791</v>
      </c>
      <c r="D6002" s="2716">
        <f t="shared" si="636"/>
        <v>1</v>
      </c>
      <c r="E6002" s="2721">
        <v>1</v>
      </c>
      <c r="F6002" s="294"/>
      <c r="G6002" s="1563" t="s">
        <v>4761</v>
      </c>
      <c r="H6002" s="360" t="s">
        <v>4726</v>
      </c>
      <c r="I6002" s="309"/>
      <c r="J6002" s="388"/>
      <c r="K6002" s="291"/>
      <c r="L6002" s="291"/>
      <c r="M6002" s="291"/>
      <c r="S6002" s="364"/>
      <c r="Z6002" s="609">
        <v>7161</v>
      </c>
      <c r="AA6002" s="609"/>
    </row>
    <row r="6003" spans="1:27" ht="18">
      <c r="A6003" s="2714"/>
      <c r="B6003" s="371">
        <v>103</v>
      </c>
      <c r="C6003" s="371" t="s">
        <v>2791</v>
      </c>
      <c r="D6003" s="2716">
        <f t="shared" si="636"/>
        <v>1</v>
      </c>
      <c r="E6003" s="2721">
        <v>1</v>
      </c>
      <c r="F6003" s="294"/>
      <c r="G6003" s="1563" t="s">
        <v>4762</v>
      </c>
      <c r="H6003" s="360" t="s">
        <v>4726</v>
      </c>
      <c r="I6003" s="309"/>
      <c r="J6003" s="388"/>
      <c r="K6003" s="291"/>
      <c r="L6003" s="291"/>
      <c r="M6003" s="291"/>
      <c r="S6003" s="364"/>
      <c r="Z6003" s="609">
        <v>7161</v>
      </c>
      <c r="AA6003" s="609"/>
    </row>
    <row r="6004" spans="1:27" ht="18">
      <c r="A6004" s="2714"/>
      <c r="B6004" s="371">
        <v>104</v>
      </c>
      <c r="C6004" s="371" t="s">
        <v>2791</v>
      </c>
      <c r="D6004" s="2716">
        <f t="shared" si="636"/>
        <v>1</v>
      </c>
      <c r="E6004" s="2721">
        <v>1</v>
      </c>
      <c r="F6004" s="294"/>
      <c r="G6004" s="1563" t="s">
        <v>4729</v>
      </c>
      <c r="H6004" s="360" t="s">
        <v>4726</v>
      </c>
      <c r="I6004" s="309"/>
      <c r="J6004" s="388"/>
      <c r="K6004" s="291"/>
      <c r="L6004" s="291"/>
      <c r="M6004" s="291"/>
      <c r="S6004" s="364"/>
      <c r="Z6004" s="609">
        <v>7161</v>
      </c>
      <c r="AA6004" s="609"/>
    </row>
    <row r="6005" spans="1:27" ht="18">
      <c r="A6005" s="2714"/>
      <c r="B6005" s="371">
        <v>105</v>
      </c>
      <c r="C6005" s="371" t="s">
        <v>2791</v>
      </c>
      <c r="D6005" s="2716">
        <f t="shared" si="636"/>
        <v>0</v>
      </c>
      <c r="E6005" s="2721">
        <v>1</v>
      </c>
      <c r="F6005" s="294"/>
      <c r="G6005" s="1563" t="s">
        <v>2792</v>
      </c>
      <c r="H6005" s="360"/>
      <c r="I6005" s="309"/>
      <c r="J6005" s="388"/>
      <c r="K6005" s="291"/>
      <c r="L6005" s="291"/>
      <c r="M6005" s="291"/>
      <c r="S6005" s="364"/>
      <c r="Z6005" s="609">
        <v>7161</v>
      </c>
      <c r="AA6005" s="609"/>
    </row>
    <row r="6006" spans="1:27" ht="18.75" thickBot="1">
      <c r="A6006" s="2714"/>
      <c r="B6006" s="371"/>
      <c r="C6006" s="371"/>
      <c r="D6006" s="2716">
        <f t="shared" si="636"/>
        <v>1</v>
      </c>
      <c r="E6006" s="2721" t="s">
        <v>2751</v>
      </c>
      <c r="F6006" s="294"/>
      <c r="G6006" s="1529" t="s">
        <v>2752</v>
      </c>
      <c r="H6006" s="1570"/>
      <c r="I6006" s="1527">
        <f>SUMPRODUCT($E6000:$E6005,I6000:I6005)</f>
        <v>0</v>
      </c>
      <c r="J6006" s="1571"/>
      <c r="K6006" s="291"/>
      <c r="L6006" s="291"/>
      <c r="M6006" s="291"/>
      <c r="S6006" s="364"/>
      <c r="Z6006" s="609">
        <v>7161</v>
      </c>
      <c r="AA6006" s="609"/>
    </row>
    <row r="6007" spans="1:27" ht="18">
      <c r="A6007" s="2714"/>
      <c r="B6007" s="371"/>
      <c r="C6007" s="371" t="s">
        <v>2755</v>
      </c>
      <c r="D6007" s="371"/>
      <c r="F6007" s="294"/>
      <c r="G6007" s="301"/>
      <c r="H6007" s="393"/>
      <c r="I6007" s="315"/>
      <c r="J6007" s="393"/>
      <c r="K6007" s="291"/>
      <c r="L6007" s="291"/>
      <c r="M6007" s="291"/>
      <c r="S6007" s="364"/>
      <c r="Z6007" s="609">
        <v>7161</v>
      </c>
      <c r="AA6007" s="609"/>
    </row>
    <row r="6008" spans="1:27" ht="18">
      <c r="A6008" s="2714">
        <v>7211</v>
      </c>
      <c r="B6008" s="371">
        <v>78.81</v>
      </c>
      <c r="C6008" s="2716" t="str">
        <f>VLOOKUP($A6008,Sheet_Items,2,0)</f>
        <v>取得借款收到的现金</v>
      </c>
      <c r="D6008" s="371"/>
      <c r="E6008" s="2716" t="s">
        <v>2739</v>
      </c>
      <c r="F6008" s="294"/>
      <c r="G6008" s="536" t="str">
        <f>B6008&amp;" "&amp;C6008</f>
        <v>78.81 取得借款收到的现金</v>
      </c>
      <c r="H6008" s="322"/>
      <c r="I6008" s="322"/>
      <c r="J6008" s="306" t="s">
        <v>4206</v>
      </c>
      <c r="K6008" s="341">
        <f>VLOOKUP($A6008,Sheet_Trialbal,6,0)</f>
        <v>0</v>
      </c>
      <c r="L6008" s="342"/>
      <c r="M6008" s="306"/>
      <c r="N6008" s="341"/>
      <c r="O6008" s="306"/>
      <c r="P6008" s="301"/>
      <c r="S6008" s="364"/>
      <c r="Z6008" s="609">
        <v>7211</v>
      </c>
      <c r="AA6008" s="609"/>
    </row>
    <row r="6009" spans="1:27" ht="24">
      <c r="A6009" s="2714" t="s">
        <v>1980</v>
      </c>
      <c r="B6009" s="371">
        <v>1</v>
      </c>
      <c r="C6009" s="371"/>
      <c r="D6009" s="2716" t="str">
        <f>VLOOKUP($A6009,Sheet_NoteList,2,0)</f>
        <v>取得借款收到的现金计算表</v>
      </c>
      <c r="E6009" s="2716" t="s">
        <v>2742</v>
      </c>
      <c r="F6009" s="294"/>
      <c r="G6009" s="483" t="str">
        <f>"("&amp;B6009&amp;")"&amp;D6009</f>
        <v>(1)取得借款收到的现金计算表</v>
      </c>
      <c r="H6009" s="1517" t="str">
        <f>$A6009</f>
        <v>7211x</v>
      </c>
      <c r="I6009" s="343" t="s">
        <v>2743</v>
      </c>
      <c r="J6009" s="301" t="s">
        <v>4712</v>
      </c>
      <c r="K6009" s="2210">
        <f>I6018</f>
        <v>0</v>
      </c>
      <c r="L6009" s="345" t="str">
        <f>IF(ROUND(K6008-K6009,2)=0,"F/S",ROUND(K6008-K6009,2))</f>
        <v>F/S</v>
      </c>
      <c r="M6009" s="532" t="s">
        <v>4713</v>
      </c>
      <c r="N6009" s="3081"/>
      <c r="O6009" s="315"/>
      <c r="P6009" s="301"/>
      <c r="S6009" s="364"/>
      <c r="Z6009" s="609">
        <v>7211</v>
      </c>
      <c r="AA6009" s="609"/>
    </row>
    <row r="6010" spans="1:27" ht="0.75" customHeight="1" thickBot="1">
      <c r="A6010" s="2714"/>
      <c r="B6010" s="371"/>
      <c r="C6010" s="371"/>
      <c r="D6010" s="371"/>
      <c r="F6010" s="371"/>
      <c r="G6010" s="371" t="s">
        <v>4763</v>
      </c>
      <c r="H6010" s="371" t="s">
        <v>4715</v>
      </c>
      <c r="I6010" s="371" t="s">
        <v>4716</v>
      </c>
      <c r="J6010" s="371" t="s">
        <v>3671</v>
      </c>
      <c r="K6010" s="291"/>
      <c r="L6010" s="291"/>
      <c r="M6010" s="291"/>
      <c r="S6010" s="364"/>
      <c r="Z6010" s="609">
        <v>7211</v>
      </c>
      <c r="AA6010" s="609"/>
    </row>
    <row r="6011" spans="1:27" ht="18">
      <c r="A6011" s="2714"/>
      <c r="B6011" s="371"/>
      <c r="C6011" s="371"/>
      <c r="D6011" s="371"/>
      <c r="E6011" s="2716" t="s">
        <v>2749</v>
      </c>
      <c r="F6011" s="294"/>
      <c r="G6011" s="1564" t="s">
        <v>47</v>
      </c>
      <c r="H6011" s="1565" t="s">
        <v>4717</v>
      </c>
      <c r="I6011" s="1565" t="s">
        <v>2887</v>
      </c>
      <c r="J6011" s="1566" t="s">
        <v>2758</v>
      </c>
      <c r="K6011" s="291"/>
      <c r="L6011" s="291"/>
      <c r="M6011" s="291"/>
      <c r="S6011" s="364"/>
      <c r="Z6011" s="609">
        <v>7211</v>
      </c>
      <c r="AA6011" s="609"/>
    </row>
    <row r="6012" spans="1:27" ht="18">
      <c r="A6012" s="2714"/>
      <c r="B6012" s="371">
        <v>101</v>
      </c>
      <c r="C6012" s="371" t="s">
        <v>2791</v>
      </c>
      <c r="D6012" s="2716">
        <f t="shared" ref="D6012:D6018" si="637">IF(OR(G6012="*",G6012="",G6012=0),0,COUNTIF($G$6012:$G$6018,G6012))</f>
        <v>1</v>
      </c>
      <c r="E6012" s="2721">
        <v>1</v>
      </c>
      <c r="F6012" s="294"/>
      <c r="G6012" s="1563" t="s">
        <v>4764</v>
      </c>
      <c r="H6012" s="360" t="s">
        <v>4726</v>
      </c>
      <c r="I6012" s="309"/>
      <c r="J6012" s="388"/>
      <c r="K6012" s="291"/>
      <c r="L6012" s="291"/>
      <c r="M6012" s="291"/>
      <c r="S6012" s="364"/>
      <c r="Z6012" s="609">
        <v>7211</v>
      </c>
      <c r="AA6012" s="609"/>
    </row>
    <row r="6013" spans="1:27" ht="18">
      <c r="A6013" s="2714"/>
      <c r="B6013" s="371">
        <v>102</v>
      </c>
      <c r="C6013" s="371" t="s">
        <v>2791</v>
      </c>
      <c r="D6013" s="2716">
        <f t="shared" si="637"/>
        <v>1</v>
      </c>
      <c r="E6013" s="2721">
        <v>1</v>
      </c>
      <c r="F6013" s="294"/>
      <c r="G6013" s="1563" t="s">
        <v>4765</v>
      </c>
      <c r="H6013" s="360" t="s">
        <v>4726</v>
      </c>
      <c r="I6013" s="309"/>
      <c r="J6013" s="388"/>
      <c r="K6013" s="291"/>
      <c r="L6013" s="291"/>
      <c r="M6013" s="291"/>
      <c r="S6013" s="364"/>
      <c r="Z6013" s="609">
        <v>7211</v>
      </c>
      <c r="AA6013" s="609"/>
    </row>
    <row r="6014" spans="1:27" ht="18">
      <c r="A6014" s="2714"/>
      <c r="B6014" s="371">
        <v>103</v>
      </c>
      <c r="C6014" s="371" t="s">
        <v>2791</v>
      </c>
      <c r="D6014" s="2716">
        <f t="shared" si="637"/>
        <v>1</v>
      </c>
      <c r="E6014" s="2721">
        <v>1</v>
      </c>
      <c r="F6014" s="294"/>
      <c r="G6014" s="1563" t="s">
        <v>4766</v>
      </c>
      <c r="H6014" s="360" t="s">
        <v>4726</v>
      </c>
      <c r="I6014" s="309"/>
      <c r="J6014" s="388"/>
      <c r="K6014" s="291"/>
      <c r="L6014" s="291"/>
      <c r="M6014" s="291"/>
      <c r="S6014" s="364"/>
      <c r="Z6014" s="609">
        <v>7211</v>
      </c>
      <c r="AA6014" s="609"/>
    </row>
    <row r="6015" spans="1:27" ht="18">
      <c r="A6015" s="2714"/>
      <c r="B6015" s="371">
        <v>104</v>
      </c>
      <c r="C6015" s="371" t="s">
        <v>2791</v>
      </c>
      <c r="D6015" s="2716">
        <f t="shared" si="637"/>
        <v>1</v>
      </c>
      <c r="E6015" s="2721">
        <v>1</v>
      </c>
      <c r="F6015" s="294"/>
      <c r="G6015" s="1563" t="s">
        <v>4767</v>
      </c>
      <c r="H6015" s="360" t="s">
        <v>4726</v>
      </c>
      <c r="I6015" s="309"/>
      <c r="J6015" s="388"/>
      <c r="K6015" s="291"/>
      <c r="L6015" s="291"/>
      <c r="M6015" s="291"/>
      <c r="S6015" s="364"/>
      <c r="Z6015" s="609">
        <v>7211</v>
      </c>
      <c r="AA6015" s="609"/>
    </row>
    <row r="6016" spans="1:27" ht="24">
      <c r="A6016" s="2714"/>
      <c r="B6016" s="371">
        <v>105</v>
      </c>
      <c r="C6016" s="371" t="s">
        <v>2791</v>
      </c>
      <c r="D6016" s="2716">
        <f t="shared" si="637"/>
        <v>1</v>
      </c>
      <c r="E6016" s="2721">
        <v>1</v>
      </c>
      <c r="F6016" s="294"/>
      <c r="G6016" s="1563" t="s">
        <v>4768</v>
      </c>
      <c r="H6016" s="360" t="s">
        <v>4726</v>
      </c>
      <c r="I6016" s="309"/>
      <c r="J6016" s="388"/>
      <c r="K6016" s="291"/>
      <c r="L6016" s="291"/>
      <c r="M6016" s="291"/>
      <c r="S6016" s="364"/>
      <c r="Z6016" s="609">
        <v>7211</v>
      </c>
      <c r="AA6016" s="609"/>
    </row>
    <row r="6017" spans="1:27" ht="18">
      <c r="A6017" s="2714"/>
      <c r="B6017" s="371">
        <v>106</v>
      </c>
      <c r="C6017" s="371" t="s">
        <v>2791</v>
      </c>
      <c r="D6017" s="2716">
        <f t="shared" si="637"/>
        <v>0</v>
      </c>
      <c r="E6017" s="2721">
        <v>1</v>
      </c>
      <c r="F6017" s="294"/>
      <c r="G6017" s="1563" t="s">
        <v>2792</v>
      </c>
      <c r="H6017" s="360"/>
      <c r="I6017" s="309"/>
      <c r="J6017" s="388"/>
      <c r="K6017" s="291"/>
      <c r="L6017" s="291"/>
      <c r="M6017" s="291"/>
      <c r="S6017" s="364"/>
      <c r="Z6017" s="609">
        <v>7211</v>
      </c>
      <c r="AA6017" s="609"/>
    </row>
    <row r="6018" spans="1:27" ht="18.75" thickBot="1">
      <c r="A6018" s="2714"/>
      <c r="B6018" s="371"/>
      <c r="C6018" s="371"/>
      <c r="D6018" s="2716">
        <f t="shared" si="637"/>
        <v>1</v>
      </c>
      <c r="E6018" s="2721" t="s">
        <v>2751</v>
      </c>
      <c r="F6018" s="294"/>
      <c r="G6018" s="1529" t="s">
        <v>2752</v>
      </c>
      <c r="H6018" s="1570"/>
      <c r="I6018" s="1527">
        <f>SUMPRODUCT($E6011:$E6017,I6011:I6017)</f>
        <v>0</v>
      </c>
      <c r="J6018" s="1571"/>
      <c r="K6018" s="291"/>
      <c r="L6018" s="291"/>
      <c r="M6018" s="291"/>
      <c r="S6018" s="364"/>
      <c r="Z6018" s="609">
        <v>7211</v>
      </c>
      <c r="AA6018" s="609"/>
    </row>
    <row r="6019" spans="1:27" ht="18">
      <c r="A6019" s="2714"/>
      <c r="B6019" s="371"/>
      <c r="C6019" s="371" t="s">
        <v>2755</v>
      </c>
      <c r="D6019" s="371"/>
      <c r="F6019" s="294"/>
      <c r="G6019" s="301"/>
      <c r="H6019" s="393"/>
      <c r="I6019" s="315"/>
      <c r="J6019" s="393"/>
      <c r="K6019" s="291"/>
      <c r="L6019" s="291"/>
      <c r="M6019" s="291"/>
      <c r="S6019" s="364"/>
      <c r="Z6019" s="609">
        <v>7211</v>
      </c>
      <c r="AA6019" s="609"/>
    </row>
    <row r="6020" spans="1:27" ht="18">
      <c r="A6020" s="2714">
        <v>7251</v>
      </c>
      <c r="B6020" s="371">
        <v>78.819999999999993</v>
      </c>
      <c r="C6020" s="2716" t="str">
        <f>VLOOKUP($A6020,Sheet_Items,2,0)</f>
        <v>偿还债务支付的现金</v>
      </c>
      <c r="D6020" s="371"/>
      <c r="E6020" s="2716" t="s">
        <v>2739</v>
      </c>
      <c r="F6020" s="294"/>
      <c r="G6020" s="536" t="str">
        <f>B6020&amp;" "&amp;C6020</f>
        <v>78.82 偿还债务支付的现金</v>
      </c>
      <c r="H6020" s="322"/>
      <c r="I6020" s="322"/>
      <c r="J6020" s="306" t="s">
        <v>4206</v>
      </c>
      <c r="K6020" s="341">
        <f>VLOOKUP($A6020,Sheet_Trialbal,6,0)</f>
        <v>0</v>
      </c>
      <c r="L6020" s="342"/>
      <c r="M6020" s="306"/>
      <c r="N6020" s="341"/>
      <c r="O6020" s="306"/>
      <c r="P6020" s="301"/>
      <c r="S6020" s="364"/>
      <c r="Z6020" s="609">
        <v>7251</v>
      </c>
      <c r="AA6020" s="609"/>
    </row>
    <row r="6021" spans="1:27" ht="24">
      <c r="A6021" s="2714" t="s">
        <v>1986</v>
      </c>
      <c r="B6021" s="371">
        <v>1</v>
      </c>
      <c r="C6021" s="371"/>
      <c r="D6021" s="2716" t="str">
        <f>VLOOKUP($A6021,Sheet_NoteList,2,0)</f>
        <v>偿还债务支付的现金计算表</v>
      </c>
      <c r="E6021" s="2716" t="s">
        <v>2742</v>
      </c>
      <c r="F6021" s="294"/>
      <c r="G6021" s="483" t="str">
        <f>"("&amp;B6021&amp;")"&amp;D6021</f>
        <v>(1)偿还债务支付的现金计算表</v>
      </c>
      <c r="H6021" s="1517" t="str">
        <f>$A6021</f>
        <v>7251x</v>
      </c>
      <c r="I6021" s="343" t="s">
        <v>2743</v>
      </c>
      <c r="J6021" s="301" t="s">
        <v>4712</v>
      </c>
      <c r="K6021" s="2210">
        <f>I6030</f>
        <v>0</v>
      </c>
      <c r="L6021" s="345" t="str">
        <f>IF(ROUND(K6020-K6021,2)=0,"F/S",ROUND(K6020-K6021,2))</f>
        <v>F/S</v>
      </c>
      <c r="M6021" s="532" t="s">
        <v>4713</v>
      </c>
      <c r="N6021" s="3081"/>
      <c r="O6021" s="315"/>
      <c r="P6021" s="301"/>
      <c r="S6021" s="364"/>
      <c r="Z6021" s="609">
        <v>7251</v>
      </c>
      <c r="AA6021" s="609"/>
    </row>
    <row r="6022" spans="1:27" ht="0.75" customHeight="1" thickBot="1">
      <c r="A6022" s="2714"/>
      <c r="B6022" s="371"/>
      <c r="C6022" s="371"/>
      <c r="D6022" s="371"/>
      <c r="F6022" s="371"/>
      <c r="G6022" s="371" t="s">
        <v>4769</v>
      </c>
      <c r="H6022" s="371" t="s">
        <v>4715</v>
      </c>
      <c r="I6022" s="371" t="s">
        <v>4716</v>
      </c>
      <c r="J6022" s="371" t="s">
        <v>3671</v>
      </c>
      <c r="K6022" s="291"/>
      <c r="L6022" s="291"/>
      <c r="M6022" s="291"/>
      <c r="S6022" s="364"/>
      <c r="Z6022" s="609">
        <v>7251</v>
      </c>
      <c r="AA6022" s="609"/>
    </row>
    <row r="6023" spans="1:27" ht="18">
      <c r="A6023" s="2714"/>
      <c r="B6023" s="371"/>
      <c r="C6023" s="371"/>
      <c r="D6023" s="371"/>
      <c r="E6023" s="2716" t="s">
        <v>2749</v>
      </c>
      <c r="F6023" s="294"/>
      <c r="G6023" s="1564" t="s">
        <v>47</v>
      </c>
      <c r="H6023" s="1565" t="s">
        <v>4717</v>
      </c>
      <c r="I6023" s="1565" t="s">
        <v>2887</v>
      </c>
      <c r="J6023" s="1566" t="s">
        <v>2758</v>
      </c>
      <c r="K6023" s="291"/>
      <c r="L6023" s="291"/>
      <c r="M6023" s="291"/>
      <c r="S6023" s="364"/>
      <c r="Z6023" s="609">
        <v>7251</v>
      </c>
      <c r="AA6023" s="609"/>
    </row>
    <row r="6024" spans="1:27" ht="18">
      <c r="A6024" s="2714"/>
      <c r="B6024" s="371">
        <v>101</v>
      </c>
      <c r="C6024" s="371" t="s">
        <v>2791</v>
      </c>
      <c r="D6024" s="2716">
        <f t="shared" ref="D6024:D6030" si="638">IF(OR(G6024="*",G6024="",G6024=0),0,COUNTIF($G$6024:$G$6030,G6024))</f>
        <v>1</v>
      </c>
      <c r="E6024" s="2721">
        <v>1</v>
      </c>
      <c r="F6024" s="294"/>
      <c r="G6024" s="1563" t="s">
        <v>4770</v>
      </c>
      <c r="H6024" s="360" t="s">
        <v>4726</v>
      </c>
      <c r="I6024" s="309"/>
      <c r="J6024" s="388"/>
      <c r="K6024" s="291"/>
      <c r="L6024" s="291"/>
      <c r="M6024" s="291"/>
      <c r="S6024" s="364"/>
      <c r="Z6024" s="609">
        <v>7251</v>
      </c>
      <c r="AA6024" s="609"/>
    </row>
    <row r="6025" spans="1:27" ht="18">
      <c r="A6025" s="2714"/>
      <c r="B6025" s="371">
        <v>102</v>
      </c>
      <c r="C6025" s="371" t="s">
        <v>2791</v>
      </c>
      <c r="D6025" s="2716">
        <f t="shared" si="638"/>
        <v>1</v>
      </c>
      <c r="E6025" s="2721">
        <v>1</v>
      </c>
      <c r="F6025" s="294"/>
      <c r="G6025" s="1563" t="s">
        <v>4771</v>
      </c>
      <c r="H6025" s="360" t="s">
        <v>4726</v>
      </c>
      <c r="I6025" s="309"/>
      <c r="J6025" s="388"/>
      <c r="K6025" s="291"/>
      <c r="L6025" s="291"/>
      <c r="M6025" s="291"/>
      <c r="S6025" s="364"/>
      <c r="Z6025" s="609">
        <v>7251</v>
      </c>
      <c r="AA6025" s="609"/>
    </row>
    <row r="6026" spans="1:27" ht="18">
      <c r="A6026" s="2714"/>
      <c r="B6026" s="371">
        <v>103</v>
      </c>
      <c r="C6026" s="371" t="s">
        <v>2791</v>
      </c>
      <c r="D6026" s="2716">
        <f t="shared" si="638"/>
        <v>1</v>
      </c>
      <c r="E6026" s="2721">
        <v>1</v>
      </c>
      <c r="F6026" s="294"/>
      <c r="G6026" s="1563" t="s">
        <v>4772</v>
      </c>
      <c r="H6026" s="360" t="s">
        <v>4726</v>
      </c>
      <c r="I6026" s="309"/>
      <c r="J6026" s="388"/>
      <c r="K6026" s="291"/>
      <c r="L6026" s="291"/>
      <c r="M6026" s="291"/>
      <c r="S6026" s="364"/>
      <c r="Z6026" s="609">
        <v>7251</v>
      </c>
      <c r="AA6026" s="609"/>
    </row>
    <row r="6027" spans="1:27" ht="18">
      <c r="A6027" s="2714"/>
      <c r="B6027" s="371">
        <v>104</v>
      </c>
      <c r="C6027" s="371" t="s">
        <v>2791</v>
      </c>
      <c r="D6027" s="2716">
        <f t="shared" si="638"/>
        <v>1</v>
      </c>
      <c r="E6027" s="2721">
        <v>1</v>
      </c>
      <c r="F6027" s="294"/>
      <c r="G6027" s="1563" t="s">
        <v>4773</v>
      </c>
      <c r="H6027" s="360" t="s">
        <v>4726</v>
      </c>
      <c r="I6027" s="309"/>
      <c r="J6027" s="388"/>
      <c r="K6027" s="291"/>
      <c r="L6027" s="291"/>
      <c r="M6027" s="291"/>
      <c r="S6027" s="364"/>
      <c r="Z6027" s="609">
        <v>7251</v>
      </c>
      <c r="AA6027" s="609"/>
    </row>
    <row r="6028" spans="1:27" ht="24">
      <c r="A6028" s="2714"/>
      <c r="B6028" s="371">
        <v>105</v>
      </c>
      <c r="C6028" s="371" t="s">
        <v>2791</v>
      </c>
      <c r="D6028" s="2716">
        <f t="shared" si="638"/>
        <v>1</v>
      </c>
      <c r="E6028" s="2721">
        <v>1</v>
      </c>
      <c r="F6028" s="294"/>
      <c r="G6028" s="1563" t="s">
        <v>4774</v>
      </c>
      <c r="H6028" s="360" t="s">
        <v>4726</v>
      </c>
      <c r="I6028" s="309"/>
      <c r="J6028" s="388"/>
      <c r="K6028" s="291"/>
      <c r="L6028" s="291"/>
      <c r="M6028" s="291"/>
      <c r="S6028" s="364"/>
      <c r="Z6028" s="609">
        <v>7251</v>
      </c>
      <c r="AA6028" s="609"/>
    </row>
    <row r="6029" spans="1:27" ht="18">
      <c r="A6029" s="2714"/>
      <c r="B6029" s="371">
        <v>106</v>
      </c>
      <c r="C6029" s="371" t="s">
        <v>2791</v>
      </c>
      <c r="D6029" s="2716">
        <f t="shared" si="638"/>
        <v>0</v>
      </c>
      <c r="E6029" s="2721">
        <v>1</v>
      </c>
      <c r="F6029" s="294"/>
      <c r="G6029" s="1563" t="s">
        <v>2792</v>
      </c>
      <c r="H6029" s="360"/>
      <c r="I6029" s="309"/>
      <c r="J6029" s="388"/>
      <c r="K6029" s="291"/>
      <c r="L6029" s="291"/>
      <c r="M6029" s="291"/>
      <c r="S6029" s="364"/>
      <c r="Z6029" s="609">
        <v>7251</v>
      </c>
      <c r="AA6029" s="609"/>
    </row>
    <row r="6030" spans="1:27" ht="18.75" thickBot="1">
      <c r="A6030" s="2714"/>
      <c r="B6030" s="371"/>
      <c r="C6030" s="371"/>
      <c r="D6030" s="2716">
        <f t="shared" si="638"/>
        <v>1</v>
      </c>
      <c r="E6030" s="2721" t="s">
        <v>2751</v>
      </c>
      <c r="F6030" s="294"/>
      <c r="G6030" s="1529" t="s">
        <v>2752</v>
      </c>
      <c r="H6030" s="1570"/>
      <c r="I6030" s="1527">
        <f>SUMPRODUCT($E6023:$E6029,I6023:I6029)</f>
        <v>0</v>
      </c>
      <c r="J6030" s="1571"/>
      <c r="K6030" s="291"/>
      <c r="L6030" s="291"/>
      <c r="M6030" s="291"/>
      <c r="S6030" s="364"/>
      <c r="Z6030" s="609">
        <v>7251</v>
      </c>
      <c r="AA6030" s="609"/>
    </row>
    <row r="6031" spans="1:27" ht="18">
      <c r="A6031" s="2714"/>
      <c r="B6031" s="371"/>
      <c r="C6031" s="371" t="s">
        <v>2755</v>
      </c>
      <c r="D6031" s="371"/>
      <c r="F6031" s="294"/>
      <c r="G6031" s="301"/>
      <c r="H6031" s="393"/>
      <c r="I6031" s="315"/>
      <c r="J6031" s="393"/>
      <c r="K6031" s="291"/>
      <c r="L6031" s="291"/>
      <c r="M6031" s="291"/>
      <c r="S6031" s="364"/>
      <c r="Z6031" s="609">
        <v>7251</v>
      </c>
      <c r="AA6031" s="609"/>
    </row>
    <row r="6032" spans="1:27" ht="18">
      <c r="A6032" s="2714">
        <v>7261</v>
      </c>
      <c r="B6032" s="371">
        <v>78.83</v>
      </c>
      <c r="C6032" s="2716" t="str">
        <f>VLOOKUP($A6032,Sheet_Items,2,0)</f>
        <v>分配利润偿付利息支付的现金</v>
      </c>
      <c r="D6032" s="371"/>
      <c r="E6032" s="2716" t="s">
        <v>2739</v>
      </c>
      <c r="F6032" s="294"/>
      <c r="G6032" s="536" t="str">
        <f>B6032&amp;" "&amp;C6032</f>
        <v>78.83 分配利润偿付利息支付的现金</v>
      </c>
      <c r="H6032" s="322"/>
      <c r="I6032" s="322"/>
      <c r="J6032" s="306" t="s">
        <v>4206</v>
      </c>
      <c r="K6032" s="341">
        <f>VLOOKUP($A6032,Sheet_Trialbal,6,0)</f>
        <v>0</v>
      </c>
      <c r="L6032" s="342"/>
      <c r="M6032" s="306"/>
      <c r="N6032" s="341"/>
      <c r="O6032" s="306"/>
      <c r="P6032" s="301"/>
      <c r="S6032" s="364"/>
      <c r="Z6032" s="609">
        <v>7261</v>
      </c>
      <c r="AA6032" s="609"/>
    </row>
    <row r="6033" spans="1:27" ht="24">
      <c r="A6033" s="2714" t="s">
        <v>1988</v>
      </c>
      <c r="B6033" s="371">
        <v>1</v>
      </c>
      <c r="C6033" s="371"/>
      <c r="D6033" s="2716" t="str">
        <f>VLOOKUP($A6033,Sheet_NoteList,2,0)</f>
        <v>分配利润偿付利息支付的现金计算表</v>
      </c>
      <c r="E6033" s="2716" t="s">
        <v>2742</v>
      </c>
      <c r="F6033" s="294"/>
      <c r="G6033" s="483" t="str">
        <f>"("&amp;B6033&amp;")"&amp;D6033</f>
        <v>(1)分配利润偿付利息支付的现金计算表</v>
      </c>
      <c r="H6033" s="1517" t="str">
        <f>$A6033</f>
        <v>7261x</v>
      </c>
      <c r="I6033" s="343" t="s">
        <v>2743</v>
      </c>
      <c r="J6033" s="301" t="s">
        <v>4712</v>
      </c>
      <c r="K6033" s="2210">
        <f>I6052</f>
        <v>0</v>
      </c>
      <c r="L6033" s="345" t="str">
        <f>IF(ROUND(K6032-K6033,2)=0,"F/S",ROUND(K6032-K6033,2))</f>
        <v>F/S</v>
      </c>
      <c r="M6033" s="532" t="s">
        <v>4713</v>
      </c>
      <c r="N6033" s="3081"/>
      <c r="O6033" s="315"/>
      <c r="P6033" s="301"/>
      <c r="S6033" s="364"/>
      <c r="Z6033" s="609">
        <v>7261</v>
      </c>
      <c r="AA6033" s="609"/>
    </row>
    <row r="6034" spans="1:27" ht="0.75" customHeight="1" thickBot="1">
      <c r="A6034" s="2714"/>
      <c r="B6034" s="371"/>
      <c r="C6034" s="371"/>
      <c r="D6034" s="371"/>
      <c r="F6034" s="371"/>
      <c r="G6034" s="371" t="s">
        <v>4775</v>
      </c>
      <c r="H6034" s="371" t="s">
        <v>4715</v>
      </c>
      <c r="I6034" s="371" t="s">
        <v>4716</v>
      </c>
      <c r="J6034" s="371" t="s">
        <v>3671</v>
      </c>
      <c r="K6034" s="291"/>
      <c r="L6034" s="291"/>
      <c r="M6034" s="291"/>
      <c r="S6034" s="364"/>
      <c r="Z6034" s="609">
        <v>7261</v>
      </c>
      <c r="AA6034" s="609"/>
    </row>
    <row r="6035" spans="1:27" ht="18">
      <c r="A6035" s="2714"/>
      <c r="B6035" s="371"/>
      <c r="C6035" s="371"/>
      <c r="D6035" s="371"/>
      <c r="E6035" s="2716" t="s">
        <v>2749</v>
      </c>
      <c r="F6035" s="294"/>
      <c r="G6035" s="1564" t="s">
        <v>47</v>
      </c>
      <c r="H6035" s="1565" t="s">
        <v>4717</v>
      </c>
      <c r="I6035" s="1565" t="s">
        <v>2887</v>
      </c>
      <c r="J6035" s="1566" t="s">
        <v>2758</v>
      </c>
      <c r="K6035" s="291"/>
      <c r="L6035" s="291"/>
      <c r="M6035" s="291"/>
      <c r="S6035" s="364"/>
      <c r="Z6035" s="609">
        <v>7261</v>
      </c>
      <c r="AA6035" s="609"/>
    </row>
    <row r="6036" spans="1:27" ht="18">
      <c r="A6036" s="2714"/>
      <c r="B6036" s="371">
        <v>101</v>
      </c>
      <c r="C6036" s="371" t="s">
        <v>2791</v>
      </c>
      <c r="D6036" s="2716">
        <f t="shared" ref="D6036:D6052" si="639">IF(OR(G6036="*",G6036="",G6036=0),0,COUNTIF($G$6036:$G$6052,G6036))</f>
        <v>1</v>
      </c>
      <c r="E6036" s="2721">
        <v>0</v>
      </c>
      <c r="F6036" s="294"/>
      <c r="G6036" s="1563" t="s">
        <v>4776</v>
      </c>
      <c r="H6036" s="360"/>
      <c r="I6036" s="309"/>
      <c r="J6036" s="388"/>
      <c r="K6036" s="291"/>
      <c r="L6036" s="291"/>
      <c r="M6036" s="291"/>
      <c r="S6036" s="364"/>
      <c r="Z6036" s="609">
        <v>7261</v>
      </c>
      <c r="AA6036" s="609"/>
    </row>
    <row r="6037" spans="1:27" ht="18">
      <c r="A6037" s="2714"/>
      <c r="B6037" s="371">
        <v>102</v>
      </c>
      <c r="C6037" s="371" t="s">
        <v>2791</v>
      </c>
      <c r="D6037" s="2716">
        <f t="shared" si="639"/>
        <v>1</v>
      </c>
      <c r="E6037" s="2721">
        <v>0</v>
      </c>
      <c r="F6037" s="294"/>
      <c r="G6037" s="1563" t="s">
        <v>4777</v>
      </c>
      <c r="H6037" s="360"/>
      <c r="I6037" s="309"/>
      <c r="J6037" s="388"/>
      <c r="K6037" s="291"/>
      <c r="L6037" s="291"/>
      <c r="M6037" s="291"/>
      <c r="S6037" s="364"/>
      <c r="Z6037" s="609">
        <v>7261</v>
      </c>
      <c r="AA6037" s="609"/>
    </row>
    <row r="6038" spans="1:27" ht="18">
      <c r="A6038" s="2714"/>
      <c r="B6038" s="371">
        <v>103</v>
      </c>
      <c r="C6038" s="371" t="s">
        <v>2791</v>
      </c>
      <c r="D6038" s="2716">
        <f t="shared" si="639"/>
        <v>1</v>
      </c>
      <c r="E6038" s="2721">
        <v>1</v>
      </c>
      <c r="F6038" s="294"/>
      <c r="G6038" s="1521" t="s">
        <v>4778</v>
      </c>
      <c r="H6038" s="360" t="s">
        <v>4726</v>
      </c>
      <c r="I6038" s="1476">
        <f>I6036-I6037</f>
        <v>0</v>
      </c>
      <c r="J6038" s="388"/>
      <c r="K6038" s="291"/>
      <c r="L6038" s="291"/>
      <c r="M6038" s="291"/>
      <c r="S6038" s="364"/>
      <c r="Z6038" s="609">
        <v>7261</v>
      </c>
      <c r="AA6038" s="609"/>
    </row>
    <row r="6039" spans="1:27" ht="18">
      <c r="A6039" s="2714"/>
      <c r="B6039" s="371">
        <v>104</v>
      </c>
      <c r="C6039" s="371" t="s">
        <v>2791</v>
      </c>
      <c r="D6039" s="2716">
        <f t="shared" si="639"/>
        <v>1</v>
      </c>
      <c r="E6039" s="2721">
        <v>0</v>
      </c>
      <c r="F6039" s="294"/>
      <c r="G6039" s="1563" t="s">
        <v>4779</v>
      </c>
      <c r="H6039" s="360"/>
      <c r="I6039" s="309"/>
      <c r="J6039" s="388"/>
      <c r="K6039" s="291"/>
      <c r="L6039" s="291"/>
      <c r="M6039" s="291"/>
      <c r="S6039" s="364"/>
      <c r="Z6039" s="609">
        <v>7261</v>
      </c>
      <c r="AA6039" s="609"/>
    </row>
    <row r="6040" spans="1:27" ht="18">
      <c r="A6040" s="2714"/>
      <c r="B6040" s="371">
        <v>105</v>
      </c>
      <c r="C6040" s="371" t="s">
        <v>2791</v>
      </c>
      <c r="D6040" s="2716">
        <f t="shared" si="639"/>
        <v>1</v>
      </c>
      <c r="E6040" s="2721">
        <v>0</v>
      </c>
      <c r="F6040" s="294"/>
      <c r="G6040" s="1563" t="s">
        <v>4780</v>
      </c>
      <c r="H6040" s="360"/>
      <c r="I6040" s="309"/>
      <c r="J6040" s="388"/>
      <c r="K6040" s="291"/>
      <c r="L6040" s="291"/>
      <c r="M6040" s="291"/>
      <c r="S6040" s="364"/>
      <c r="Z6040" s="609">
        <v>7261</v>
      </c>
      <c r="AA6040" s="609"/>
    </row>
    <row r="6041" spans="1:27" ht="18">
      <c r="A6041" s="2714"/>
      <c r="B6041" s="371">
        <v>106</v>
      </c>
      <c r="C6041" s="371" t="s">
        <v>2791</v>
      </c>
      <c r="D6041" s="2716">
        <f t="shared" si="639"/>
        <v>1</v>
      </c>
      <c r="E6041" s="2721">
        <v>1</v>
      </c>
      <c r="F6041" s="294"/>
      <c r="G6041" s="1521" t="s">
        <v>4781</v>
      </c>
      <c r="H6041" s="360" t="s">
        <v>4726</v>
      </c>
      <c r="I6041" s="1476">
        <f>I6039-I6040</f>
        <v>0</v>
      </c>
      <c r="J6041" s="388"/>
      <c r="K6041" s="291"/>
      <c r="L6041" s="291"/>
      <c r="M6041" s="291"/>
      <c r="S6041" s="364"/>
      <c r="Z6041" s="609">
        <v>7261</v>
      </c>
      <c r="AA6041" s="609"/>
    </row>
    <row r="6042" spans="1:27" ht="18">
      <c r="A6042" s="2714"/>
      <c r="B6042" s="371">
        <v>107</v>
      </c>
      <c r="C6042" s="371" t="s">
        <v>2791</v>
      </c>
      <c r="D6042" s="2716">
        <f t="shared" si="639"/>
        <v>1</v>
      </c>
      <c r="E6042" s="2721">
        <v>1</v>
      </c>
      <c r="F6042" s="294"/>
      <c r="G6042" s="1563" t="s">
        <v>4782</v>
      </c>
      <c r="H6042" s="360" t="s">
        <v>4726</v>
      </c>
      <c r="I6042" s="309"/>
      <c r="J6042" s="388"/>
      <c r="K6042" s="291"/>
      <c r="L6042" s="291"/>
      <c r="M6042" s="291"/>
      <c r="S6042" s="364"/>
      <c r="Z6042" s="609">
        <v>7261</v>
      </c>
      <c r="AA6042" s="609"/>
    </row>
    <row r="6043" spans="1:27" ht="24">
      <c r="A6043" s="2714"/>
      <c r="B6043" s="371">
        <v>108</v>
      </c>
      <c r="C6043" s="371" t="s">
        <v>2791</v>
      </c>
      <c r="D6043" s="2716">
        <f t="shared" si="639"/>
        <v>1</v>
      </c>
      <c r="E6043" s="2721">
        <v>0</v>
      </c>
      <c r="F6043" s="294"/>
      <c r="G6043" s="1563" t="s">
        <v>4783</v>
      </c>
      <c r="H6043" s="360"/>
      <c r="I6043" s="309"/>
      <c r="J6043" s="388"/>
      <c r="K6043" s="291"/>
      <c r="L6043" s="291"/>
      <c r="M6043" s="291"/>
      <c r="S6043" s="364"/>
      <c r="Z6043" s="609">
        <v>7261</v>
      </c>
      <c r="AA6043" s="609"/>
    </row>
    <row r="6044" spans="1:27" ht="24">
      <c r="A6044" s="2714"/>
      <c r="B6044" s="371">
        <v>109</v>
      </c>
      <c r="C6044" s="371" t="s">
        <v>2791</v>
      </c>
      <c r="D6044" s="2716">
        <f t="shared" si="639"/>
        <v>1</v>
      </c>
      <c r="E6044" s="2721">
        <v>0</v>
      </c>
      <c r="F6044" s="294"/>
      <c r="G6044" s="1563" t="s">
        <v>4784</v>
      </c>
      <c r="H6044" s="360"/>
      <c r="I6044" s="309"/>
      <c r="J6044" s="388"/>
      <c r="K6044" s="291"/>
      <c r="L6044" s="291"/>
      <c r="M6044" s="291"/>
      <c r="S6044" s="364"/>
      <c r="Z6044" s="609">
        <v>7261</v>
      </c>
      <c r="AA6044" s="609"/>
    </row>
    <row r="6045" spans="1:27" ht="24">
      <c r="A6045" s="2714"/>
      <c r="B6045" s="371">
        <v>110</v>
      </c>
      <c r="C6045" s="371" t="s">
        <v>2791</v>
      </c>
      <c r="D6045" s="2716">
        <f t="shared" si="639"/>
        <v>1</v>
      </c>
      <c r="E6045" s="2721">
        <v>1</v>
      </c>
      <c r="F6045" s="294"/>
      <c r="G6045" s="1521" t="s">
        <v>4785</v>
      </c>
      <c r="H6045" s="360" t="s">
        <v>4726</v>
      </c>
      <c r="I6045" s="1476">
        <f>I6043-I6044</f>
        <v>0</v>
      </c>
      <c r="J6045" s="388"/>
      <c r="K6045" s="291"/>
      <c r="L6045" s="291"/>
      <c r="M6045" s="291"/>
      <c r="S6045" s="364"/>
      <c r="Z6045" s="609">
        <v>7261</v>
      </c>
      <c r="AA6045" s="609"/>
    </row>
    <row r="6046" spans="1:27" ht="18">
      <c r="A6046" s="2714"/>
      <c r="B6046" s="371">
        <v>111</v>
      </c>
      <c r="C6046" s="371" t="s">
        <v>2791</v>
      </c>
      <c r="D6046" s="2716">
        <f t="shared" si="639"/>
        <v>1</v>
      </c>
      <c r="E6046" s="2721">
        <v>1</v>
      </c>
      <c r="F6046" s="294"/>
      <c r="G6046" s="1563" t="s">
        <v>4786</v>
      </c>
      <c r="H6046" s="360" t="s">
        <v>4726</v>
      </c>
      <c r="I6046" s="309"/>
      <c r="J6046" s="388"/>
      <c r="K6046" s="291"/>
      <c r="L6046" s="291"/>
      <c r="M6046" s="291"/>
      <c r="S6046" s="364"/>
      <c r="Z6046" s="609">
        <v>7261</v>
      </c>
      <c r="AA6046" s="609"/>
    </row>
    <row r="6047" spans="1:27" ht="18">
      <c r="A6047" s="2714"/>
      <c r="B6047" s="371">
        <v>112</v>
      </c>
      <c r="C6047" s="371" t="s">
        <v>2791</v>
      </c>
      <c r="D6047" s="2716">
        <f t="shared" si="639"/>
        <v>1</v>
      </c>
      <c r="E6047" s="2721">
        <v>1</v>
      </c>
      <c r="F6047" s="294"/>
      <c r="G6047" s="1563" t="s">
        <v>4787</v>
      </c>
      <c r="H6047" s="360" t="s">
        <v>4726</v>
      </c>
      <c r="I6047" s="309"/>
      <c r="J6047" s="388"/>
      <c r="K6047" s="291"/>
      <c r="L6047" s="291"/>
      <c r="M6047" s="291"/>
      <c r="S6047" s="364"/>
      <c r="Z6047" s="609">
        <v>7261</v>
      </c>
      <c r="AA6047" s="609"/>
    </row>
    <row r="6048" spans="1:27" ht="18">
      <c r="A6048" s="2714"/>
      <c r="B6048" s="371">
        <v>113</v>
      </c>
      <c r="C6048" s="371" t="s">
        <v>2791</v>
      </c>
      <c r="D6048" s="2716">
        <f t="shared" si="639"/>
        <v>1</v>
      </c>
      <c r="E6048" s="2721">
        <v>1</v>
      </c>
      <c r="F6048" s="294"/>
      <c r="G6048" s="1563" t="s">
        <v>4788</v>
      </c>
      <c r="H6048" s="360" t="s">
        <v>4726</v>
      </c>
      <c r="I6048" s="309"/>
      <c r="J6048" s="388"/>
      <c r="K6048" s="291"/>
      <c r="L6048" s="291"/>
      <c r="M6048" s="291"/>
      <c r="S6048" s="364"/>
      <c r="Z6048" s="609">
        <v>7261</v>
      </c>
      <c r="AA6048" s="609"/>
    </row>
    <row r="6049" spans="1:27" ht="18">
      <c r="A6049" s="2714"/>
      <c r="B6049" s="371">
        <v>114</v>
      </c>
      <c r="C6049" s="371" t="s">
        <v>2791</v>
      </c>
      <c r="D6049" s="2716">
        <f t="shared" si="639"/>
        <v>1</v>
      </c>
      <c r="E6049" s="2721">
        <v>1</v>
      </c>
      <c r="F6049" s="294"/>
      <c r="G6049" s="1563" t="s">
        <v>4789</v>
      </c>
      <c r="H6049" s="360" t="s">
        <v>4726</v>
      </c>
      <c r="I6049" s="309"/>
      <c r="J6049" s="388"/>
      <c r="K6049" s="291"/>
      <c r="L6049" s="291"/>
      <c r="M6049" s="291"/>
      <c r="S6049" s="364"/>
      <c r="Z6049" s="609">
        <v>7261</v>
      </c>
      <c r="AA6049" s="609"/>
    </row>
    <row r="6050" spans="1:27" ht="18">
      <c r="A6050" s="2714"/>
      <c r="B6050" s="371">
        <v>115</v>
      </c>
      <c r="C6050" s="371" t="s">
        <v>2791</v>
      </c>
      <c r="D6050" s="2716">
        <f t="shared" si="639"/>
        <v>1</v>
      </c>
      <c r="E6050" s="2721">
        <v>1</v>
      </c>
      <c r="F6050" s="294"/>
      <c r="G6050" s="1563" t="s">
        <v>932</v>
      </c>
      <c r="H6050" s="360" t="s">
        <v>4726</v>
      </c>
      <c r="I6050" s="309"/>
      <c r="J6050" s="388"/>
      <c r="K6050" s="291"/>
      <c r="L6050" s="291"/>
      <c r="M6050" s="291"/>
      <c r="S6050" s="364"/>
      <c r="Z6050" s="609">
        <v>7261</v>
      </c>
      <c r="AA6050" s="609"/>
    </row>
    <row r="6051" spans="1:27" ht="18">
      <c r="A6051" s="2714"/>
      <c r="B6051" s="371">
        <v>116</v>
      </c>
      <c r="C6051" s="371" t="s">
        <v>2791</v>
      </c>
      <c r="D6051" s="2716">
        <f t="shared" si="639"/>
        <v>0</v>
      </c>
      <c r="E6051" s="2721">
        <v>1</v>
      </c>
      <c r="F6051" s="294"/>
      <c r="G6051" s="1563" t="s">
        <v>2792</v>
      </c>
      <c r="H6051" s="360"/>
      <c r="I6051" s="309"/>
      <c r="J6051" s="388"/>
      <c r="K6051" s="291"/>
      <c r="L6051" s="291"/>
      <c r="M6051" s="291"/>
      <c r="S6051" s="364"/>
      <c r="Z6051" s="609">
        <v>7261</v>
      </c>
      <c r="AA6051" s="609"/>
    </row>
    <row r="6052" spans="1:27" ht="18.75" thickBot="1">
      <c r="A6052" s="2714"/>
      <c r="B6052" s="371"/>
      <c r="C6052" s="371"/>
      <c r="D6052" s="2716">
        <f t="shared" si="639"/>
        <v>1</v>
      </c>
      <c r="E6052" s="2721" t="s">
        <v>2751</v>
      </c>
      <c r="F6052" s="294"/>
      <c r="G6052" s="1529" t="s">
        <v>2752</v>
      </c>
      <c r="H6052" s="1570"/>
      <c r="I6052" s="1527">
        <f>SUMPRODUCT($E6035:$E6051,I6035:I6051)</f>
        <v>0</v>
      </c>
      <c r="J6052" s="1571"/>
      <c r="K6052" s="291"/>
      <c r="L6052" s="291"/>
      <c r="M6052" s="291"/>
      <c r="S6052" s="364"/>
      <c r="Z6052" s="609">
        <v>7261</v>
      </c>
      <c r="AA6052" s="609"/>
    </row>
    <row r="6053" spans="1:27" ht="18.75" thickBot="1">
      <c r="A6053" s="2714"/>
      <c r="B6053" s="371"/>
      <c r="C6053" s="371" t="s">
        <v>2755</v>
      </c>
      <c r="D6053" s="371"/>
      <c r="F6053" s="294"/>
      <c r="G6053" s="301"/>
      <c r="H6053" s="393"/>
      <c r="I6053" s="315"/>
      <c r="J6053" s="393"/>
      <c r="K6053" s="291"/>
      <c r="L6053" s="291"/>
      <c r="M6053" s="291"/>
      <c r="S6053" s="364"/>
      <c r="Z6053" s="609">
        <v>7261</v>
      </c>
      <c r="AA6053" s="609"/>
    </row>
    <row r="6054" spans="1:27" ht="18.75" thickBot="1">
      <c r="A6054" s="2714"/>
      <c r="B6054" s="371"/>
      <c r="C6054" s="371"/>
      <c r="D6054" s="371"/>
      <c r="F6054" s="294"/>
      <c r="G6054" s="627" t="s">
        <v>4708</v>
      </c>
      <c r="H6054" s="628" t="s">
        <v>4790</v>
      </c>
      <c r="I6054" s="629"/>
      <c r="J6054" s="630"/>
      <c r="K6054" s="630"/>
      <c r="L6054" s="630"/>
      <c r="M6054" s="630"/>
      <c r="N6054" s="631"/>
      <c r="S6054" s="364"/>
      <c r="Z6054" s="609" t="s">
        <v>2014</v>
      </c>
      <c r="AA6054" s="609"/>
    </row>
    <row r="6055" spans="1:27" ht="18">
      <c r="A6055" s="2714">
        <v>7503</v>
      </c>
      <c r="B6055" s="371">
        <v>79.010000000000005</v>
      </c>
      <c r="C6055" s="2716" t="str">
        <f>VLOOKUP($A6055,Sheet_Items,2,0)</f>
        <v>资产减值准备金额</v>
      </c>
      <c r="D6055" s="371"/>
      <c r="E6055" s="2716" t="s">
        <v>2739</v>
      </c>
      <c r="F6055" s="294"/>
      <c r="G6055" s="536" t="str">
        <f>B6055&amp;" "&amp;C6055</f>
        <v>79.01 资产减值准备金额</v>
      </c>
      <c r="H6055" s="322"/>
      <c r="I6055" s="322"/>
      <c r="J6055" s="306" t="s">
        <v>4206</v>
      </c>
      <c r="K6055" s="341">
        <f>VLOOKUP($A6055,Sheet_Trialbal,6,0)</f>
        <v>0</v>
      </c>
      <c r="L6055" s="342"/>
      <c r="M6055" s="306"/>
      <c r="N6055" s="341"/>
      <c r="O6055" s="306"/>
      <c r="P6055" s="301"/>
      <c r="S6055" s="364"/>
      <c r="Z6055" s="609" t="s">
        <v>2014</v>
      </c>
      <c r="AA6055" s="609"/>
    </row>
    <row r="6056" spans="1:27" ht="36">
      <c r="A6056" s="2714" t="s">
        <v>2012</v>
      </c>
      <c r="B6056" s="371">
        <v>1</v>
      </c>
      <c r="C6056" s="371"/>
      <c r="D6056" s="2716" t="str">
        <f>VLOOKUP($A6056,Sheet_NoteList,2,0)</f>
        <v>将净利润调节为经营活动现金流量：资产减值准备金额</v>
      </c>
      <c r="E6056" s="2716" t="s">
        <v>2742</v>
      </c>
      <c r="F6056" s="294"/>
      <c r="G6056" s="372" t="str">
        <f>"("&amp;B6056&amp;")"&amp;D6056</f>
        <v>(1)将净利润调节为经营活动现金流量：资产减值准备金额</v>
      </c>
      <c r="H6056" s="1517" t="str">
        <f>$A6056</f>
        <v>7503a</v>
      </c>
      <c r="I6056" s="343" t="s">
        <v>2743</v>
      </c>
      <c r="J6056" s="301" t="s">
        <v>4712</v>
      </c>
      <c r="K6056" s="2210">
        <f>H6062</f>
        <v>0</v>
      </c>
      <c r="L6056" s="345" t="str">
        <f>IF(ROUND(K6055-K6056,2)=0,"F/S",ROUND(K6055-K6056,2))</f>
        <v>F/S</v>
      </c>
      <c r="M6056" s="532" t="s">
        <v>4713</v>
      </c>
      <c r="N6056" s="3081"/>
      <c r="O6056" s="315"/>
      <c r="P6056" s="301"/>
      <c r="S6056" s="364"/>
      <c r="Z6056" s="609" t="s">
        <v>2014</v>
      </c>
      <c r="AA6056" s="609"/>
    </row>
    <row r="6057" spans="1:27" ht="0.75" customHeight="1" thickBot="1">
      <c r="A6057" s="2714"/>
      <c r="B6057" s="371"/>
      <c r="C6057" s="371"/>
      <c r="D6057" s="371"/>
      <c r="F6057" s="294"/>
      <c r="G6057" s="294" t="s">
        <v>4791</v>
      </c>
      <c r="H6057" s="294" t="s">
        <v>3472</v>
      </c>
      <c r="I6057" s="294" t="s">
        <v>2821</v>
      </c>
      <c r="J6057" s="291"/>
      <c r="K6057" s="291"/>
      <c r="L6057" s="291"/>
      <c r="M6057" s="291"/>
      <c r="S6057" s="364"/>
      <c r="Z6057" s="609" t="s">
        <v>2014</v>
      </c>
      <c r="AA6057" s="609"/>
    </row>
    <row r="6058" spans="1:27" ht="18">
      <c r="A6058" s="2714"/>
      <c r="B6058" s="371"/>
      <c r="C6058" s="371"/>
      <c r="D6058" s="371"/>
      <c r="E6058" s="2716" t="s">
        <v>2749</v>
      </c>
      <c r="F6058" s="294"/>
      <c r="G6058" s="1564" t="s">
        <v>47</v>
      </c>
      <c r="H6058" s="1565" t="s">
        <v>2587</v>
      </c>
      <c r="I6058" s="1566" t="s">
        <v>2508</v>
      </c>
      <c r="J6058" s="575"/>
      <c r="K6058" s="291"/>
      <c r="L6058" s="291"/>
      <c r="M6058" s="291"/>
      <c r="S6058" s="364"/>
      <c r="Z6058" s="609" t="s">
        <v>2014</v>
      </c>
      <c r="AA6058" s="609"/>
    </row>
    <row r="6059" spans="1:27" ht="18">
      <c r="A6059" s="2714"/>
      <c r="B6059" s="371">
        <v>101</v>
      </c>
      <c r="C6059" s="371"/>
      <c r="D6059" s="2716">
        <f>IF(OR(G6059="*",G6059="",G6059=0),0,COUNTIF($G$6059:$G$6062,G6059))</f>
        <v>1</v>
      </c>
      <c r="E6059" s="2721">
        <v>1</v>
      </c>
      <c r="F6059" s="294"/>
      <c r="G6059" s="308" t="s">
        <v>697</v>
      </c>
      <c r="H6059" s="309"/>
      <c r="I6059" s="388"/>
      <c r="J6059" s="291"/>
      <c r="K6059" s="291"/>
      <c r="L6059" s="291"/>
      <c r="M6059" s="291"/>
      <c r="S6059" s="364"/>
      <c r="Z6059" s="609" t="s">
        <v>2014</v>
      </c>
      <c r="AA6059" s="609"/>
    </row>
    <row r="6060" spans="1:27" ht="18">
      <c r="A6060" s="2714"/>
      <c r="B6060" s="371">
        <v>102</v>
      </c>
      <c r="C6060" s="371" t="s">
        <v>2791</v>
      </c>
      <c r="D6060" s="2716">
        <f>IF(OR(G6060="*",G6060="",G6060=0),0,COUNTIF($G$6059:$G$6062,G6060))</f>
        <v>0</v>
      </c>
      <c r="E6060" s="2721">
        <v>1</v>
      </c>
      <c r="F6060" s="294"/>
      <c r="G6060" s="1563" t="s">
        <v>2792</v>
      </c>
      <c r="H6060" s="309"/>
      <c r="I6060" s="388"/>
      <c r="J6060" s="291"/>
      <c r="K6060" s="291"/>
      <c r="L6060" s="291"/>
      <c r="M6060" s="291"/>
      <c r="S6060" s="364"/>
      <c r="Z6060" s="609" t="s">
        <v>2014</v>
      </c>
      <c r="AA6060" s="609"/>
    </row>
    <row r="6061" spans="1:27" ht="18">
      <c r="A6061" s="2714"/>
      <c r="B6061" s="371">
        <v>103</v>
      </c>
      <c r="C6061" s="371" t="s">
        <v>2791</v>
      </c>
      <c r="D6061" s="2716">
        <f>IF(OR(G6061="*",G6061="",G6061=0),0,COUNTIF($G$6059:$G$6062,G6061))</f>
        <v>0</v>
      </c>
      <c r="E6061" s="2721">
        <v>1</v>
      </c>
      <c r="F6061" s="294"/>
      <c r="G6061" s="1563" t="s">
        <v>2792</v>
      </c>
      <c r="H6061" s="309"/>
      <c r="I6061" s="388"/>
      <c r="J6061" s="291"/>
      <c r="K6061" s="291"/>
      <c r="L6061" s="291"/>
      <c r="M6061" s="291"/>
      <c r="S6061" s="364"/>
      <c r="Z6061" s="609" t="s">
        <v>2014</v>
      </c>
      <c r="AA6061" s="609"/>
    </row>
    <row r="6062" spans="1:27" ht="18.75" thickBot="1">
      <c r="A6062" s="2714"/>
      <c r="B6062" s="371"/>
      <c r="C6062" s="371"/>
      <c r="D6062" s="2716">
        <f>IF(OR(G6062="*",G6062="",G6062=0),0,COUNTIF($G$6059:$G$6062,G6062))</f>
        <v>1</v>
      </c>
      <c r="E6062" s="2721" t="s">
        <v>2751</v>
      </c>
      <c r="F6062" s="294"/>
      <c r="G6062" s="1529" t="s">
        <v>2752</v>
      </c>
      <c r="H6062" s="1527">
        <f>SUMPRODUCT($E6058:$E6061,H6058:H6061)</f>
        <v>0</v>
      </c>
      <c r="I6062" s="1572"/>
      <c r="J6062" s="291"/>
      <c r="K6062" s="291"/>
      <c r="L6062" s="291"/>
      <c r="M6062" s="291"/>
      <c r="S6062" s="364"/>
      <c r="Z6062" s="609" t="s">
        <v>2014</v>
      </c>
      <c r="AA6062" s="609"/>
    </row>
    <row r="6063" spans="1:27" ht="18">
      <c r="A6063" s="2714"/>
      <c r="B6063" s="371"/>
      <c r="C6063" s="371" t="s">
        <v>2755</v>
      </c>
      <c r="D6063" s="371"/>
      <c r="F6063" s="294"/>
      <c r="G6063" s="301"/>
      <c r="H6063" s="315"/>
      <c r="I6063" s="393"/>
      <c r="J6063" s="291"/>
      <c r="K6063" s="291"/>
      <c r="L6063" s="291"/>
      <c r="M6063" s="291"/>
      <c r="S6063" s="364"/>
      <c r="Z6063" s="609" t="s">
        <v>2014</v>
      </c>
      <c r="AA6063" s="609"/>
    </row>
    <row r="6064" spans="1:27" ht="18">
      <c r="A6064" s="2714">
        <v>7505</v>
      </c>
      <c r="B6064" s="371">
        <v>79.02</v>
      </c>
      <c r="C6064" s="2716" t="str">
        <f>VLOOKUP($A6064,Sheet_Items,2,0)</f>
        <v>固定资产折旧、油气资产折耗、生产性生物资产折旧</v>
      </c>
      <c r="D6064" s="371"/>
      <c r="E6064" s="2716" t="s">
        <v>2739</v>
      </c>
      <c r="F6064" s="294"/>
      <c r="G6064" s="536" t="str">
        <f>B6064&amp;" "&amp;C6064</f>
        <v>79.02 固定资产折旧、油气资产折耗、生产性生物资产折旧</v>
      </c>
      <c r="H6064" s="322"/>
      <c r="I6064" s="322"/>
      <c r="J6064" s="306" t="s">
        <v>4206</v>
      </c>
      <c r="K6064" s="341">
        <f>VLOOKUP($A6064,Sheet_Trialbal,6,0)</f>
        <v>1298.1600000000001</v>
      </c>
      <c r="L6064" s="342"/>
      <c r="M6064" s="306"/>
      <c r="N6064" s="341"/>
      <c r="O6064" s="306"/>
      <c r="P6064" s="301"/>
      <c r="S6064" s="364"/>
      <c r="Z6064" s="609" t="s">
        <v>2017</v>
      </c>
      <c r="AA6064" s="609"/>
    </row>
    <row r="6065" spans="1:27" ht="48">
      <c r="A6065" s="2714" t="s">
        <v>2015</v>
      </c>
      <c r="B6065" s="371">
        <v>1</v>
      </c>
      <c r="C6065" s="371"/>
      <c r="D6065" s="2716" t="str">
        <f>VLOOKUP($A6065,Sheet_NoteList,2,0)</f>
        <v>将净利润调节为经营活动现金流量：固定资产折旧、油气资产折耗、生产性生物资产折旧</v>
      </c>
      <c r="E6065" s="2716" t="s">
        <v>2742</v>
      </c>
      <c r="F6065" s="294"/>
      <c r="G6065" s="372" t="str">
        <f>"("&amp;B6065&amp;")"&amp;D6065</f>
        <v>(1)将净利润调节为经营活动现金流量：固定资产折旧、油气资产折耗、生产性生物资产折旧</v>
      </c>
      <c r="H6065" s="1517" t="str">
        <f>$A6065</f>
        <v>7505a</v>
      </c>
      <c r="I6065" s="343" t="s">
        <v>2743</v>
      </c>
      <c r="J6065" s="301" t="s">
        <v>4712</v>
      </c>
      <c r="K6065" s="2210">
        <f>H6073</f>
        <v>0</v>
      </c>
      <c r="L6065" s="345">
        <f>IF(ROUND(K6064-K6065,2)=0,"F/S",ROUND(K6064-K6065,2))</f>
        <v>1298.1600000000001</v>
      </c>
      <c r="M6065" s="532" t="s">
        <v>4713</v>
      </c>
      <c r="N6065" s="3081"/>
      <c r="O6065" s="315"/>
      <c r="P6065" s="301"/>
      <c r="S6065" s="364"/>
      <c r="Z6065" s="609" t="s">
        <v>2017</v>
      </c>
      <c r="AA6065" s="609"/>
    </row>
    <row r="6066" spans="1:27" ht="0.75" customHeight="1" thickBot="1">
      <c r="A6066" s="2714"/>
      <c r="B6066" s="371"/>
      <c r="C6066" s="371"/>
      <c r="D6066" s="371"/>
      <c r="F6066" s="294"/>
      <c r="G6066" s="294" t="s">
        <v>4792</v>
      </c>
      <c r="H6066" s="294" t="s">
        <v>3472</v>
      </c>
      <c r="I6066" s="294" t="s">
        <v>2821</v>
      </c>
      <c r="J6066" s="291"/>
      <c r="K6066" s="291"/>
      <c r="L6066" s="291"/>
      <c r="M6066" s="291"/>
      <c r="S6066" s="364"/>
      <c r="Z6066" s="609" t="s">
        <v>2017</v>
      </c>
      <c r="AA6066" s="609"/>
    </row>
    <row r="6067" spans="1:27" ht="18">
      <c r="A6067" s="2714"/>
      <c r="B6067" s="371"/>
      <c r="C6067" s="371"/>
      <c r="D6067" s="371"/>
      <c r="E6067" s="2716" t="s">
        <v>2749</v>
      </c>
      <c r="F6067" s="294"/>
      <c r="G6067" s="1564" t="s">
        <v>47</v>
      </c>
      <c r="H6067" s="1565" t="s">
        <v>2587</v>
      </c>
      <c r="I6067" s="1566" t="s">
        <v>2508</v>
      </c>
      <c r="J6067" s="291"/>
      <c r="K6067" s="291"/>
      <c r="L6067" s="291"/>
      <c r="M6067" s="291"/>
      <c r="S6067" s="364"/>
      <c r="Z6067" s="609" t="s">
        <v>2017</v>
      </c>
      <c r="AA6067" s="609"/>
    </row>
    <row r="6068" spans="1:27" ht="18">
      <c r="A6068" s="2714"/>
      <c r="B6068" s="371">
        <v>101</v>
      </c>
      <c r="C6068" s="371"/>
      <c r="D6068" s="2716">
        <f t="shared" ref="D6068:D6073" si="640">IF(OR(G6068="*",G6068="",G6068=0),0,COUNTIF($G$6068:$G$6073,G6068))</f>
        <v>1</v>
      </c>
      <c r="E6068" s="2721">
        <v>1</v>
      </c>
      <c r="F6068" s="294"/>
      <c r="G6068" s="308" t="s">
        <v>4793</v>
      </c>
      <c r="H6068" s="309"/>
      <c r="I6068" s="388"/>
      <c r="J6068" s="291"/>
      <c r="K6068" s="291"/>
      <c r="L6068" s="291"/>
      <c r="M6068" s="291"/>
      <c r="S6068" s="364"/>
      <c r="Z6068" s="609" t="s">
        <v>2017</v>
      </c>
      <c r="AA6068" s="609"/>
    </row>
    <row r="6069" spans="1:27" ht="18">
      <c r="A6069" s="2714"/>
      <c r="B6069" s="371">
        <v>102</v>
      </c>
      <c r="C6069" s="371"/>
      <c r="D6069" s="2716">
        <f t="shared" si="640"/>
        <v>1</v>
      </c>
      <c r="E6069" s="2721">
        <v>1</v>
      </c>
      <c r="F6069" s="294"/>
      <c r="G6069" s="308" t="s">
        <v>4794</v>
      </c>
      <c r="H6069" s="309"/>
      <c r="I6069" s="388"/>
      <c r="J6069" s="291"/>
      <c r="K6069" s="291"/>
      <c r="L6069" s="291"/>
      <c r="M6069" s="291"/>
      <c r="S6069" s="364"/>
      <c r="Z6069" s="609" t="s">
        <v>2017</v>
      </c>
      <c r="AA6069" s="609"/>
    </row>
    <row r="6070" spans="1:27" ht="24">
      <c r="A6070" s="2714"/>
      <c r="B6070" s="371">
        <v>103</v>
      </c>
      <c r="C6070" s="371"/>
      <c r="D6070" s="2716">
        <f t="shared" si="640"/>
        <v>1</v>
      </c>
      <c r="E6070" s="2721">
        <v>1</v>
      </c>
      <c r="F6070" s="294"/>
      <c r="G6070" s="308" t="s">
        <v>4795</v>
      </c>
      <c r="H6070" s="309"/>
      <c r="I6070" s="388"/>
      <c r="J6070" s="291"/>
      <c r="K6070" s="291"/>
      <c r="L6070" s="291"/>
      <c r="M6070" s="291"/>
      <c r="S6070" s="364"/>
      <c r="Z6070" s="609" t="s">
        <v>2017</v>
      </c>
      <c r="AA6070" s="609"/>
    </row>
    <row r="6071" spans="1:27" ht="18">
      <c r="A6071" s="2714"/>
      <c r="B6071" s="371">
        <v>104</v>
      </c>
      <c r="C6071" s="371" t="s">
        <v>2791</v>
      </c>
      <c r="D6071" s="2716">
        <f t="shared" si="640"/>
        <v>0</v>
      </c>
      <c r="E6071" s="2721">
        <v>1</v>
      </c>
      <c r="F6071" s="294"/>
      <c r="G6071" s="1563" t="s">
        <v>2792</v>
      </c>
      <c r="H6071" s="309"/>
      <c r="I6071" s="388"/>
      <c r="J6071" s="291"/>
      <c r="K6071" s="291"/>
      <c r="L6071" s="291"/>
      <c r="M6071" s="291"/>
      <c r="S6071" s="364"/>
      <c r="Z6071" s="609" t="s">
        <v>2017</v>
      </c>
      <c r="AA6071" s="609"/>
    </row>
    <row r="6072" spans="1:27" ht="18">
      <c r="A6072" s="2714"/>
      <c r="B6072" s="371">
        <v>105</v>
      </c>
      <c r="C6072" s="371" t="s">
        <v>2791</v>
      </c>
      <c r="D6072" s="2716">
        <f t="shared" si="640"/>
        <v>0</v>
      </c>
      <c r="E6072" s="2721">
        <v>1</v>
      </c>
      <c r="F6072" s="294"/>
      <c r="G6072" s="1563" t="s">
        <v>2792</v>
      </c>
      <c r="H6072" s="309"/>
      <c r="I6072" s="388"/>
      <c r="J6072" s="291"/>
      <c r="K6072" s="291"/>
      <c r="L6072" s="291"/>
      <c r="M6072" s="291"/>
      <c r="S6072" s="364"/>
      <c r="Z6072" s="609" t="s">
        <v>2017</v>
      </c>
      <c r="AA6072" s="609"/>
    </row>
    <row r="6073" spans="1:27" ht="18.75" thickBot="1">
      <c r="A6073" s="2714"/>
      <c r="B6073" s="371"/>
      <c r="C6073" s="371"/>
      <c r="D6073" s="2716">
        <f t="shared" si="640"/>
        <v>1</v>
      </c>
      <c r="E6073" s="2721" t="s">
        <v>2751</v>
      </c>
      <c r="F6073" s="294"/>
      <c r="G6073" s="1529" t="s">
        <v>2752</v>
      </c>
      <c r="H6073" s="1527">
        <f>SUMPRODUCT($E6067:$E6072,H6067:H6072)</f>
        <v>0</v>
      </c>
      <c r="I6073" s="1571"/>
      <c r="J6073" s="291"/>
      <c r="K6073" s="291"/>
      <c r="L6073" s="291"/>
      <c r="M6073" s="291"/>
      <c r="S6073" s="364"/>
      <c r="Z6073" s="609" t="s">
        <v>2017</v>
      </c>
      <c r="AA6073" s="609"/>
    </row>
    <row r="6074" spans="1:27" ht="18">
      <c r="A6074" s="2714"/>
      <c r="B6074" s="371"/>
      <c r="C6074" s="371" t="s">
        <v>2755</v>
      </c>
      <c r="D6074" s="371"/>
      <c r="F6074" s="294"/>
      <c r="G6074" s="301"/>
      <c r="H6074" s="315"/>
      <c r="I6074" s="393"/>
      <c r="J6074" s="291"/>
      <c r="K6074" s="291"/>
      <c r="L6074" s="291"/>
      <c r="M6074" s="291"/>
      <c r="S6074" s="364"/>
      <c r="Z6074" s="609" t="s">
        <v>2017</v>
      </c>
      <c r="AA6074" s="609"/>
    </row>
    <row r="6075" spans="1:27" ht="18">
      <c r="A6075" s="2714">
        <v>7506</v>
      </c>
      <c r="B6075" s="371">
        <v>79.03</v>
      </c>
      <c r="C6075" s="2716" t="str">
        <f>VLOOKUP($A6075,Sheet_Items,2,0)</f>
        <v>无形资产摊销</v>
      </c>
      <c r="D6075" s="371"/>
      <c r="E6075" s="2716" t="s">
        <v>2739</v>
      </c>
      <c r="F6075" s="294"/>
      <c r="G6075" s="536" t="str">
        <f>B6075&amp;" "&amp;C6075</f>
        <v>79.03 无形资产摊销</v>
      </c>
      <c r="H6075" s="322"/>
      <c r="I6075" s="322"/>
      <c r="J6075" s="306" t="s">
        <v>4206</v>
      </c>
      <c r="K6075" s="341">
        <f>VLOOKUP($A6075,Sheet_Trialbal,6,0)</f>
        <v>218545.8</v>
      </c>
      <c r="L6075" s="342"/>
      <c r="M6075" s="306"/>
      <c r="N6075" s="341"/>
      <c r="O6075" s="306"/>
      <c r="P6075" s="301"/>
      <c r="S6075" s="364"/>
      <c r="Z6075" s="609" t="s">
        <v>2020</v>
      </c>
      <c r="AA6075" s="609"/>
    </row>
    <row r="6076" spans="1:27" ht="24">
      <c r="A6076" s="2714" t="s">
        <v>2018</v>
      </c>
      <c r="B6076" s="371">
        <v>1</v>
      </c>
      <c r="C6076" s="371"/>
      <c r="D6076" s="2716" t="str">
        <f>VLOOKUP($A6076,Sheet_NoteList,2,0)</f>
        <v>将净利润调节为经营活动现金流量：无形资产摊销</v>
      </c>
      <c r="E6076" s="2716" t="s">
        <v>2742</v>
      </c>
      <c r="F6076" s="294"/>
      <c r="G6076" s="372" t="str">
        <f>"("&amp;B6076&amp;")"&amp;D6076</f>
        <v>(1)将净利润调节为经营活动现金流量：无形资产摊销</v>
      </c>
      <c r="H6076" s="1517" t="str">
        <f>$A6076</f>
        <v>7506a</v>
      </c>
      <c r="I6076" s="343" t="s">
        <v>2743</v>
      </c>
      <c r="J6076" s="301" t="s">
        <v>4712</v>
      </c>
      <c r="K6076" s="2210">
        <f>H6082</f>
        <v>0</v>
      </c>
      <c r="L6076" s="345">
        <f>IF(ROUND(K6075-K6076,2)=0,"F/S",ROUND(K6075-K6076,2))</f>
        <v>218545.8</v>
      </c>
      <c r="M6076" s="532" t="s">
        <v>4713</v>
      </c>
      <c r="N6076" s="3081"/>
      <c r="O6076" s="315"/>
      <c r="P6076" s="301"/>
      <c r="S6076" s="364"/>
      <c r="Z6076" s="609" t="s">
        <v>2020</v>
      </c>
      <c r="AA6076" s="609"/>
    </row>
    <row r="6077" spans="1:27" ht="0.75" customHeight="1" thickBot="1">
      <c r="A6077" s="2714"/>
      <c r="B6077" s="371"/>
      <c r="C6077" s="371"/>
      <c r="D6077" s="371"/>
      <c r="F6077" s="294"/>
      <c r="G6077" s="294" t="s">
        <v>4796</v>
      </c>
      <c r="H6077" s="294" t="s">
        <v>3472</v>
      </c>
      <c r="I6077" s="294" t="s">
        <v>2821</v>
      </c>
      <c r="J6077" s="291"/>
      <c r="K6077" s="291"/>
      <c r="L6077" s="291"/>
      <c r="M6077" s="291"/>
      <c r="S6077" s="364"/>
      <c r="Z6077" s="609" t="s">
        <v>2020</v>
      </c>
      <c r="AA6077" s="609"/>
    </row>
    <row r="6078" spans="1:27" ht="18">
      <c r="A6078" s="2714"/>
      <c r="B6078" s="371"/>
      <c r="C6078" s="371"/>
      <c r="D6078" s="371"/>
      <c r="E6078" s="2716" t="s">
        <v>2749</v>
      </c>
      <c r="F6078" s="294"/>
      <c r="G6078" s="1564" t="s">
        <v>47</v>
      </c>
      <c r="H6078" s="1565" t="s">
        <v>2587</v>
      </c>
      <c r="I6078" s="1566" t="s">
        <v>2508</v>
      </c>
      <c r="J6078" s="291"/>
      <c r="K6078" s="291"/>
      <c r="L6078" s="291"/>
      <c r="M6078" s="291"/>
      <c r="S6078" s="364"/>
      <c r="Z6078" s="609" t="s">
        <v>2020</v>
      </c>
      <c r="AA6078" s="609"/>
    </row>
    <row r="6079" spans="1:27" ht="18">
      <c r="A6079" s="2714"/>
      <c r="B6079" s="371">
        <v>101</v>
      </c>
      <c r="C6079" s="371"/>
      <c r="D6079" s="2716">
        <f>IF(OR(G6079="*",G6079="",G6079=0),0,COUNTIF($G$6079:$G$6082,G6079))</f>
        <v>1</v>
      </c>
      <c r="E6079" s="2721">
        <v>1</v>
      </c>
      <c r="F6079" s="294"/>
      <c r="G6079" s="308" t="s">
        <v>4797</v>
      </c>
      <c r="H6079" s="309"/>
      <c r="I6079" s="388"/>
      <c r="J6079" s="291"/>
      <c r="K6079" s="291"/>
      <c r="L6079" s="291"/>
      <c r="M6079" s="291"/>
      <c r="S6079" s="364"/>
      <c r="Z6079" s="609" t="s">
        <v>2020</v>
      </c>
      <c r="AA6079" s="609"/>
    </row>
    <row r="6080" spans="1:27" ht="18">
      <c r="A6080" s="2714"/>
      <c r="B6080" s="371">
        <v>102</v>
      </c>
      <c r="C6080" s="371" t="s">
        <v>2791</v>
      </c>
      <c r="D6080" s="2716">
        <f>IF(OR(G6080="*",G6080="",G6080=0),0,COUNTIF($G$6079:$G$6082,G6080))</f>
        <v>0</v>
      </c>
      <c r="E6080" s="2721">
        <v>1</v>
      </c>
      <c r="F6080" s="294"/>
      <c r="G6080" s="1563" t="s">
        <v>2792</v>
      </c>
      <c r="H6080" s="309"/>
      <c r="I6080" s="388"/>
      <c r="J6080" s="291"/>
      <c r="K6080" s="291"/>
      <c r="L6080" s="291"/>
      <c r="M6080" s="291"/>
      <c r="S6080" s="364"/>
      <c r="Z6080" s="609" t="s">
        <v>2020</v>
      </c>
      <c r="AA6080" s="609"/>
    </row>
    <row r="6081" spans="1:27" ht="18">
      <c r="A6081" s="2714"/>
      <c r="B6081" s="371">
        <v>103</v>
      </c>
      <c r="C6081" s="371" t="s">
        <v>2791</v>
      </c>
      <c r="D6081" s="2716">
        <f>IF(OR(G6081="*",G6081="",G6081=0),0,COUNTIF($G$6079:$G$6082,G6081))</f>
        <v>0</v>
      </c>
      <c r="E6081" s="2721">
        <v>1</v>
      </c>
      <c r="F6081" s="294"/>
      <c r="G6081" s="1563" t="s">
        <v>2792</v>
      </c>
      <c r="H6081" s="309"/>
      <c r="I6081" s="388"/>
      <c r="J6081" s="291"/>
      <c r="K6081" s="291"/>
      <c r="L6081" s="291"/>
      <c r="M6081" s="291"/>
      <c r="S6081" s="364"/>
      <c r="Z6081" s="609" t="s">
        <v>2020</v>
      </c>
      <c r="AA6081" s="609"/>
    </row>
    <row r="6082" spans="1:27" ht="18.75" thickBot="1">
      <c r="A6082" s="2714"/>
      <c r="B6082" s="371"/>
      <c r="C6082" s="371"/>
      <c r="D6082" s="2716">
        <f>IF(OR(G6082="*",G6082="",G6082=0),0,COUNTIF($G$6079:$G$6082,G6082))</f>
        <v>1</v>
      </c>
      <c r="E6082" s="2721" t="s">
        <v>2751</v>
      </c>
      <c r="F6082" s="294"/>
      <c r="G6082" s="1529" t="s">
        <v>2752</v>
      </c>
      <c r="H6082" s="1527">
        <f>SUMPRODUCT($E6078:$E6081,H6078:H6081)</f>
        <v>0</v>
      </c>
      <c r="I6082" s="1571"/>
      <c r="J6082" s="291"/>
      <c r="K6082" s="291"/>
      <c r="L6082" s="291"/>
      <c r="M6082" s="291"/>
      <c r="S6082" s="364"/>
      <c r="Z6082" s="609" t="s">
        <v>2020</v>
      </c>
      <c r="AA6082" s="609"/>
    </row>
    <row r="6083" spans="1:27" ht="18">
      <c r="A6083" s="2714"/>
      <c r="B6083" s="371"/>
      <c r="C6083" s="371" t="s">
        <v>2755</v>
      </c>
      <c r="D6083" s="371"/>
      <c r="F6083" s="294"/>
      <c r="G6083" s="301"/>
      <c r="H6083" s="315"/>
      <c r="I6083" s="393"/>
      <c r="J6083" s="291"/>
      <c r="K6083" s="291"/>
      <c r="L6083" s="291"/>
      <c r="M6083" s="291"/>
      <c r="S6083" s="364"/>
      <c r="Z6083" s="609" t="s">
        <v>2020</v>
      </c>
      <c r="AA6083" s="609"/>
    </row>
    <row r="6084" spans="1:27" ht="18">
      <c r="A6084" s="2714">
        <v>7507</v>
      </c>
      <c r="B6084" s="371">
        <v>79.040000000000006</v>
      </c>
      <c r="C6084" s="2716" t="str">
        <f>VLOOKUP($A6084,Sheet_Items,2,0)</f>
        <v>长期待摊费用摊销</v>
      </c>
      <c r="D6084" s="371"/>
      <c r="E6084" s="2716" t="s">
        <v>2739</v>
      </c>
      <c r="F6084" s="294"/>
      <c r="G6084" s="536" t="str">
        <f>B6084&amp;" "&amp;C6084</f>
        <v>79.04 长期待摊费用摊销</v>
      </c>
      <c r="H6084" s="322"/>
      <c r="I6084" s="322"/>
      <c r="J6084" s="306" t="s">
        <v>4206</v>
      </c>
      <c r="K6084" s="341">
        <f>VLOOKUP($A6084,Sheet_Trialbal,6,0)</f>
        <v>0</v>
      </c>
      <c r="L6084" s="342"/>
      <c r="M6084" s="306"/>
      <c r="N6084" s="341"/>
      <c r="O6084" s="306"/>
      <c r="P6084" s="301"/>
      <c r="S6084" s="364"/>
      <c r="Z6084" s="609" t="s">
        <v>2024</v>
      </c>
      <c r="AA6084" s="609"/>
    </row>
    <row r="6085" spans="1:27" ht="36">
      <c r="A6085" s="2714" t="s">
        <v>2022</v>
      </c>
      <c r="B6085" s="371">
        <v>1</v>
      </c>
      <c r="C6085" s="371"/>
      <c r="D6085" s="2716" t="str">
        <f>VLOOKUP($A6085,Sheet_NoteList,2,0)</f>
        <v>将净利润调节为经营活动现金流量：长期待摊费用摊销</v>
      </c>
      <c r="E6085" s="2716" t="s">
        <v>2742</v>
      </c>
      <c r="F6085" s="294"/>
      <c r="G6085" s="372" t="str">
        <f>"("&amp;B6085&amp;")"&amp;D6085</f>
        <v>(1)将净利润调节为经营活动现金流量：长期待摊费用摊销</v>
      </c>
      <c r="H6085" s="1517" t="str">
        <f>$A6085</f>
        <v>7507a</v>
      </c>
      <c r="I6085" s="343" t="s">
        <v>2743</v>
      </c>
      <c r="J6085" s="301" t="s">
        <v>4712</v>
      </c>
      <c r="K6085" s="2210">
        <f>H6091</f>
        <v>0</v>
      </c>
      <c r="L6085" s="345" t="str">
        <f>IF(ROUND(K6084-K6085,2)=0,"F/S",ROUND(K6084-K6085,2))</f>
        <v>F/S</v>
      </c>
      <c r="M6085" s="532" t="s">
        <v>4713</v>
      </c>
      <c r="N6085" s="3081"/>
      <c r="O6085" s="315"/>
      <c r="P6085" s="301"/>
      <c r="S6085" s="364"/>
      <c r="Z6085" s="609" t="s">
        <v>2024</v>
      </c>
      <c r="AA6085" s="609"/>
    </row>
    <row r="6086" spans="1:27" ht="0.75" customHeight="1" thickBot="1">
      <c r="A6086" s="2714"/>
      <c r="B6086" s="371"/>
      <c r="C6086" s="371"/>
      <c r="D6086" s="371"/>
      <c r="F6086" s="294"/>
      <c r="G6086" s="294" t="s">
        <v>4798</v>
      </c>
      <c r="H6086" s="294" t="s">
        <v>3472</v>
      </c>
      <c r="I6086" s="294" t="s">
        <v>2821</v>
      </c>
      <c r="J6086" s="291"/>
      <c r="K6086" s="291"/>
      <c r="L6086" s="291"/>
      <c r="M6086" s="291"/>
      <c r="S6086" s="364"/>
      <c r="Z6086" s="609" t="s">
        <v>2024</v>
      </c>
      <c r="AA6086" s="609"/>
    </row>
    <row r="6087" spans="1:27" ht="18">
      <c r="A6087" s="2714"/>
      <c r="B6087" s="371"/>
      <c r="C6087" s="371"/>
      <c r="D6087" s="371"/>
      <c r="E6087" s="2716" t="s">
        <v>2749</v>
      </c>
      <c r="F6087" s="294"/>
      <c r="G6087" s="1564" t="s">
        <v>47</v>
      </c>
      <c r="H6087" s="1565" t="s">
        <v>2587</v>
      </c>
      <c r="I6087" s="1566" t="s">
        <v>2508</v>
      </c>
      <c r="J6087" s="291"/>
      <c r="K6087" s="291"/>
      <c r="L6087" s="291"/>
      <c r="M6087" s="291"/>
      <c r="S6087" s="364"/>
      <c r="Z6087" s="609" t="s">
        <v>2024</v>
      </c>
      <c r="AA6087" s="609"/>
    </row>
    <row r="6088" spans="1:27" ht="18">
      <c r="A6088" s="2714"/>
      <c r="B6088" s="371">
        <v>101</v>
      </c>
      <c r="C6088" s="371"/>
      <c r="D6088" s="2716">
        <f>IF(OR(G6088="*",G6088="",G6088=0),0,COUNTIF($G$6088:$G$6091,G6088))</f>
        <v>1</v>
      </c>
      <c r="E6088" s="2721">
        <v>1</v>
      </c>
      <c r="F6088" s="294"/>
      <c r="G6088" s="308" t="s">
        <v>4799</v>
      </c>
      <c r="H6088" s="309"/>
      <c r="I6088" s="388"/>
      <c r="J6088" s="291"/>
      <c r="K6088" s="291"/>
      <c r="L6088" s="291"/>
      <c r="M6088" s="291"/>
      <c r="S6088" s="364"/>
      <c r="Z6088" s="609" t="s">
        <v>2024</v>
      </c>
      <c r="AA6088" s="609"/>
    </row>
    <row r="6089" spans="1:27" ht="18">
      <c r="A6089" s="2714"/>
      <c r="B6089" s="371">
        <v>102</v>
      </c>
      <c r="C6089" s="371" t="s">
        <v>2791</v>
      </c>
      <c r="D6089" s="2716">
        <f>IF(OR(G6089="*",G6089="",G6089=0),0,COUNTIF($G$6088:$G$6091,G6089))</f>
        <v>0</v>
      </c>
      <c r="E6089" s="2721">
        <v>1</v>
      </c>
      <c r="F6089" s="294"/>
      <c r="G6089" s="1563" t="s">
        <v>2792</v>
      </c>
      <c r="H6089" s="309"/>
      <c r="I6089" s="388"/>
      <c r="J6089" s="291"/>
      <c r="K6089" s="291"/>
      <c r="L6089" s="291"/>
      <c r="M6089" s="291"/>
      <c r="S6089" s="364"/>
      <c r="Z6089" s="609" t="s">
        <v>2024</v>
      </c>
      <c r="AA6089" s="609"/>
    </row>
    <row r="6090" spans="1:27" ht="18">
      <c r="A6090" s="2714"/>
      <c r="B6090" s="371">
        <v>103</v>
      </c>
      <c r="C6090" s="371" t="s">
        <v>2791</v>
      </c>
      <c r="D6090" s="2716">
        <f>IF(OR(G6090="*",G6090="",G6090=0),0,COUNTIF($G$6088:$G$6091,G6090))</f>
        <v>0</v>
      </c>
      <c r="E6090" s="2721">
        <v>1</v>
      </c>
      <c r="F6090" s="294"/>
      <c r="G6090" s="1563" t="s">
        <v>2792</v>
      </c>
      <c r="H6090" s="309"/>
      <c r="I6090" s="388"/>
      <c r="J6090" s="291"/>
      <c r="K6090" s="291"/>
      <c r="L6090" s="291"/>
      <c r="M6090" s="291"/>
      <c r="S6090" s="364"/>
      <c r="Z6090" s="609" t="s">
        <v>2024</v>
      </c>
      <c r="AA6090" s="609"/>
    </row>
    <row r="6091" spans="1:27" ht="18.75" thickBot="1">
      <c r="A6091" s="2714"/>
      <c r="B6091" s="371"/>
      <c r="C6091" s="371"/>
      <c r="D6091" s="2716">
        <f>IF(OR(G6091="*",G6091="",G6091=0),0,COUNTIF($G$6088:$G$6091,G6091))</f>
        <v>1</v>
      </c>
      <c r="E6091" s="2721" t="s">
        <v>2751</v>
      </c>
      <c r="F6091" s="294"/>
      <c r="G6091" s="1529" t="s">
        <v>2752</v>
      </c>
      <c r="H6091" s="1527">
        <f>SUMPRODUCT($E6087:$E6090,H6087:H6090)</f>
        <v>0</v>
      </c>
      <c r="I6091" s="1571"/>
      <c r="J6091" s="291"/>
      <c r="K6091" s="291"/>
      <c r="L6091" s="291"/>
      <c r="M6091" s="291"/>
      <c r="S6091" s="364"/>
      <c r="Z6091" s="609" t="s">
        <v>2024</v>
      </c>
      <c r="AA6091" s="609"/>
    </row>
    <row r="6092" spans="1:27" ht="18">
      <c r="A6092" s="2714"/>
      <c r="B6092" s="371"/>
      <c r="C6092" s="371" t="s">
        <v>2755</v>
      </c>
      <c r="D6092" s="371"/>
      <c r="F6092" s="294"/>
      <c r="G6092" s="301"/>
      <c r="H6092" s="315"/>
      <c r="I6092" s="393"/>
      <c r="J6092" s="291"/>
      <c r="K6092" s="291"/>
      <c r="L6092" s="291"/>
      <c r="M6092" s="291"/>
      <c r="S6092" s="364"/>
      <c r="Z6092" s="609" t="s">
        <v>2024</v>
      </c>
      <c r="AA6092" s="609"/>
    </row>
    <row r="6093" spans="1:27" ht="18">
      <c r="A6093" s="2714">
        <v>7508</v>
      </c>
      <c r="B6093" s="371">
        <v>79.05</v>
      </c>
      <c r="C6093" s="2716" t="str">
        <f>VLOOKUP($A6093,Sheet_Items,2,0)</f>
        <v>处置固定资产、无形资产和其他长期资产的损失</v>
      </c>
      <c r="D6093" s="371"/>
      <c r="E6093" s="2716" t="s">
        <v>2739</v>
      </c>
      <c r="F6093" s="294"/>
      <c r="G6093" s="536" t="str">
        <f>B6093&amp;" "&amp;C6093</f>
        <v>79.05 处置固定资产、无形资产和其他长期资产的损失</v>
      </c>
      <c r="H6093" s="322"/>
      <c r="I6093" s="322"/>
      <c r="J6093" s="306" t="s">
        <v>4206</v>
      </c>
      <c r="K6093" s="341">
        <f>VLOOKUP($A6093,Sheet_Trialbal,6,0)</f>
        <v>0</v>
      </c>
      <c r="L6093" s="342"/>
      <c r="M6093" s="306"/>
      <c r="N6093" s="341"/>
      <c r="O6093" s="306"/>
      <c r="P6093" s="301"/>
      <c r="S6093" s="364"/>
      <c r="Z6093" s="609" t="s">
        <v>2028</v>
      </c>
      <c r="AA6093" s="609"/>
    </row>
    <row r="6094" spans="1:27" ht="48">
      <c r="A6094" s="2714" t="s">
        <v>2026</v>
      </c>
      <c r="B6094" s="371">
        <v>1</v>
      </c>
      <c r="C6094" s="371"/>
      <c r="D6094" s="2716" t="str">
        <f>VLOOKUP($A6094,Sheet_NoteList,2,0)</f>
        <v>将净利润调节为经营活动现金流量：处置固定资产、无形资产和其他长期资产的损失</v>
      </c>
      <c r="E6094" s="2716" t="s">
        <v>2742</v>
      </c>
      <c r="F6094" s="294"/>
      <c r="G6094" s="372" t="str">
        <f>"("&amp;B6094&amp;")"&amp;D6094</f>
        <v>(1)将净利润调节为经营活动现金流量：处置固定资产、无形资产和其他长期资产的损失</v>
      </c>
      <c r="H6094" s="1517" t="str">
        <f>$A6094</f>
        <v>7508a</v>
      </c>
      <c r="I6094" s="343" t="s">
        <v>2743</v>
      </c>
      <c r="J6094" s="301" t="s">
        <v>4712</v>
      </c>
      <c r="K6094" s="2210">
        <f>H6105</f>
        <v>0</v>
      </c>
      <c r="L6094" s="345" t="str">
        <f>IF(ROUND(K6093-K6094,2)=0,"F/S",ROUND(K6093-K6094,2))</f>
        <v>F/S</v>
      </c>
      <c r="M6094" s="532" t="s">
        <v>4713</v>
      </c>
      <c r="N6094" s="3081"/>
      <c r="O6094" s="315"/>
      <c r="P6094" s="301"/>
      <c r="S6094" s="364"/>
      <c r="Z6094" s="609" t="s">
        <v>2028</v>
      </c>
      <c r="AA6094" s="609"/>
    </row>
    <row r="6095" spans="1:27" ht="0.75" customHeight="1" thickBot="1">
      <c r="A6095" s="2714"/>
      <c r="B6095" s="371"/>
      <c r="C6095" s="371"/>
      <c r="D6095" s="371"/>
      <c r="F6095" s="294"/>
      <c r="G6095" s="294" t="s">
        <v>4800</v>
      </c>
      <c r="H6095" s="294" t="s">
        <v>3472</v>
      </c>
      <c r="I6095" s="294" t="s">
        <v>2821</v>
      </c>
      <c r="J6095" s="291"/>
      <c r="K6095" s="291"/>
      <c r="L6095" s="291"/>
      <c r="M6095" s="291"/>
      <c r="S6095" s="364"/>
      <c r="Z6095" s="609" t="s">
        <v>2028</v>
      </c>
      <c r="AA6095" s="609"/>
    </row>
    <row r="6096" spans="1:27" ht="18">
      <c r="A6096" s="2714"/>
      <c r="B6096" s="371"/>
      <c r="C6096" s="371"/>
      <c r="D6096" s="371"/>
      <c r="E6096" s="2716" t="s">
        <v>2749</v>
      </c>
      <c r="F6096" s="294"/>
      <c r="G6096" s="1594" t="s">
        <v>47</v>
      </c>
      <c r="H6096" s="1592" t="s">
        <v>2587</v>
      </c>
      <c r="I6096" s="1593" t="s">
        <v>2508</v>
      </c>
      <c r="J6096" s="291"/>
      <c r="K6096" s="291"/>
      <c r="L6096" s="291"/>
      <c r="M6096" s="291"/>
      <c r="S6096" s="364"/>
      <c r="Z6096" s="609" t="s">
        <v>2028</v>
      </c>
      <c r="AA6096" s="609"/>
    </row>
    <row r="6097" spans="1:27" ht="18">
      <c r="A6097" s="2714"/>
      <c r="B6097" s="371">
        <v>101</v>
      </c>
      <c r="C6097" s="371" t="s">
        <v>2791</v>
      </c>
      <c r="D6097" s="2716">
        <f t="shared" ref="D6097:D6105" si="641">IF(OR(G6097="*",G6097="",G6097=0),0,COUNTIF($G$6097:$G$6105,G6097))</f>
        <v>0</v>
      </c>
      <c r="E6097" s="2721">
        <v>1</v>
      </c>
      <c r="F6097" s="294"/>
      <c r="G6097" s="1591" t="s">
        <v>2792</v>
      </c>
      <c r="H6097" s="309"/>
      <c r="I6097" s="388"/>
      <c r="J6097" s="291"/>
      <c r="K6097" s="291"/>
      <c r="L6097" s="291"/>
      <c r="M6097" s="291"/>
      <c r="S6097" s="364"/>
      <c r="Z6097" s="609" t="s">
        <v>2028</v>
      </c>
      <c r="AA6097" s="609"/>
    </row>
    <row r="6098" spans="1:27" ht="18">
      <c r="A6098" s="2714"/>
      <c r="B6098" s="371">
        <v>102</v>
      </c>
      <c r="C6098" s="371" t="s">
        <v>2791</v>
      </c>
      <c r="D6098" s="2716">
        <f t="shared" si="641"/>
        <v>0</v>
      </c>
      <c r="E6098" s="2721">
        <v>1</v>
      </c>
      <c r="F6098" s="294"/>
      <c r="G6098" s="1591" t="s">
        <v>2792</v>
      </c>
      <c r="H6098" s="309"/>
      <c r="I6098" s="388"/>
      <c r="J6098" s="291"/>
      <c r="K6098" s="291"/>
      <c r="L6098" s="291"/>
      <c r="M6098" s="291"/>
      <c r="S6098" s="364"/>
      <c r="Z6098" s="609" t="s">
        <v>2028</v>
      </c>
      <c r="AA6098" s="609"/>
    </row>
    <row r="6099" spans="1:27" ht="24">
      <c r="A6099" s="2714"/>
      <c r="B6099" s="371">
        <v>103</v>
      </c>
      <c r="C6099" s="371"/>
      <c r="D6099" s="2716">
        <f t="shared" si="641"/>
        <v>1</v>
      </c>
      <c r="E6099" s="2721">
        <v>-1</v>
      </c>
      <c r="F6099" s="294"/>
      <c r="G6099" s="308" t="s">
        <v>5522</v>
      </c>
      <c r="H6099" s="309"/>
      <c r="I6099" s="388"/>
      <c r="J6099" s="291"/>
      <c r="K6099" s="291"/>
      <c r="L6099" s="291"/>
      <c r="M6099" s="291"/>
      <c r="S6099" s="364"/>
      <c r="Z6099" s="609" t="s">
        <v>2028</v>
      </c>
      <c r="AA6099" s="609"/>
    </row>
    <row r="6100" spans="1:27" ht="24">
      <c r="A6100" s="2714"/>
      <c r="B6100" s="371">
        <v>104</v>
      </c>
      <c r="C6100" s="371"/>
      <c r="D6100" s="2716">
        <f t="shared" si="641"/>
        <v>1</v>
      </c>
      <c r="E6100" s="2721">
        <v>-1</v>
      </c>
      <c r="F6100" s="294"/>
      <c r="G6100" s="308" t="s">
        <v>5520</v>
      </c>
      <c r="H6100" s="309"/>
      <c r="I6100" s="388"/>
      <c r="J6100" s="291"/>
      <c r="K6100" s="291"/>
      <c r="L6100" s="291"/>
      <c r="M6100" s="291"/>
      <c r="S6100" s="364"/>
      <c r="Z6100" s="609" t="s">
        <v>2028</v>
      </c>
      <c r="AA6100" s="609"/>
    </row>
    <row r="6101" spans="1:27" ht="24">
      <c r="A6101" s="2714"/>
      <c r="B6101" s="371">
        <v>105</v>
      </c>
      <c r="C6101" s="371"/>
      <c r="D6101" s="2716">
        <f t="shared" si="641"/>
        <v>1</v>
      </c>
      <c r="E6101" s="2721">
        <v>-1</v>
      </c>
      <c r="F6101" s="294"/>
      <c r="G6101" s="308" t="s">
        <v>5521</v>
      </c>
      <c r="H6101" s="309"/>
      <c r="I6101" s="388"/>
      <c r="J6101" s="291"/>
      <c r="K6101" s="291"/>
      <c r="L6101" s="291"/>
      <c r="M6101" s="291"/>
      <c r="S6101" s="364"/>
      <c r="Z6101" s="609" t="s">
        <v>2028</v>
      </c>
      <c r="AA6101" s="609"/>
    </row>
    <row r="6102" spans="1:27" ht="18">
      <c r="A6102" s="2714"/>
      <c r="B6102" s="371">
        <v>106</v>
      </c>
      <c r="C6102" s="371" t="s">
        <v>2791</v>
      </c>
      <c r="D6102" s="2716">
        <f t="shared" si="641"/>
        <v>0</v>
      </c>
      <c r="E6102" s="2721">
        <v>-1</v>
      </c>
      <c r="F6102" s="294"/>
      <c r="G6102" s="1591" t="s">
        <v>2792</v>
      </c>
      <c r="H6102" s="309"/>
      <c r="I6102" s="388"/>
      <c r="J6102" s="291"/>
      <c r="K6102" s="291"/>
      <c r="L6102" s="291"/>
      <c r="M6102" s="291"/>
      <c r="S6102" s="364"/>
      <c r="Z6102" s="609" t="s">
        <v>2028</v>
      </c>
      <c r="AA6102" s="609"/>
    </row>
    <row r="6103" spans="1:27" ht="18">
      <c r="A6103" s="2714"/>
      <c r="B6103" s="371">
        <v>107</v>
      </c>
      <c r="C6103" s="371" t="s">
        <v>6533</v>
      </c>
      <c r="D6103" s="2716">
        <f t="shared" si="641"/>
        <v>0</v>
      </c>
      <c r="E6103" s="2721">
        <v>-1</v>
      </c>
      <c r="F6103" s="294"/>
      <c r="G6103" s="1591" t="s">
        <v>2792</v>
      </c>
      <c r="H6103" s="309"/>
      <c r="I6103" s="388"/>
      <c r="J6103" s="291"/>
      <c r="K6103" s="291"/>
      <c r="L6103" s="291"/>
      <c r="M6103" s="291"/>
      <c r="S6103" s="364"/>
      <c r="Z6103" s="609" t="s">
        <v>2028</v>
      </c>
      <c r="AA6103" s="609"/>
    </row>
    <row r="6104" spans="1:27" ht="18">
      <c r="A6104" s="2714"/>
      <c r="B6104" s="371">
        <v>108</v>
      </c>
      <c r="C6104" s="371" t="s">
        <v>6533</v>
      </c>
      <c r="D6104" s="2716">
        <f t="shared" si="641"/>
        <v>0</v>
      </c>
      <c r="E6104" s="2721">
        <v>-1</v>
      </c>
      <c r="F6104" s="294"/>
      <c r="G6104" s="1591" t="s">
        <v>2792</v>
      </c>
      <c r="H6104" s="309"/>
      <c r="I6104" s="388"/>
      <c r="J6104" s="291"/>
      <c r="K6104" s="291"/>
      <c r="L6104" s="291"/>
      <c r="M6104" s="291"/>
      <c r="S6104" s="364"/>
      <c r="Z6104" s="609" t="s">
        <v>2028</v>
      </c>
      <c r="AA6104" s="609"/>
    </row>
    <row r="6105" spans="1:27" ht="18.75" thickBot="1">
      <c r="A6105" s="2714"/>
      <c r="B6105" s="371"/>
      <c r="C6105" s="371"/>
      <c r="D6105" s="2716">
        <f t="shared" si="641"/>
        <v>1</v>
      </c>
      <c r="E6105" s="2721" t="s">
        <v>2751</v>
      </c>
      <c r="F6105" s="294"/>
      <c r="G6105" s="1529" t="s">
        <v>2752</v>
      </c>
      <c r="H6105" s="1527">
        <f>SUMPRODUCT($E6096:$E6104,H6096:H6104)</f>
        <v>0</v>
      </c>
      <c r="I6105" s="1571"/>
      <c r="J6105" s="291"/>
      <c r="K6105" s="291"/>
      <c r="L6105" s="291"/>
      <c r="M6105" s="291"/>
      <c r="S6105" s="364"/>
      <c r="Z6105" s="609" t="s">
        <v>2028</v>
      </c>
      <c r="AA6105" s="609"/>
    </row>
    <row r="6106" spans="1:27" ht="18">
      <c r="A6106" s="2714"/>
      <c r="B6106" s="371"/>
      <c r="C6106" s="371" t="s">
        <v>2755</v>
      </c>
      <c r="D6106" s="371"/>
      <c r="F6106" s="294"/>
      <c r="G6106" s="301"/>
      <c r="H6106" s="315"/>
      <c r="I6106" s="393"/>
      <c r="J6106" s="291"/>
      <c r="K6106" s="291"/>
      <c r="L6106" s="291"/>
      <c r="M6106" s="291"/>
      <c r="S6106" s="364"/>
      <c r="Z6106" s="609" t="s">
        <v>2028</v>
      </c>
      <c r="AA6106" s="609"/>
    </row>
    <row r="6107" spans="1:27" ht="18">
      <c r="A6107" s="2714">
        <v>7509</v>
      </c>
      <c r="B6107" s="371">
        <v>79.06</v>
      </c>
      <c r="C6107" s="2716" t="str">
        <f>VLOOKUP($A6107,Sheet_Items,2,0)</f>
        <v>固定资产报废损失</v>
      </c>
      <c r="D6107" s="371"/>
      <c r="E6107" s="2716" t="s">
        <v>2739</v>
      </c>
      <c r="F6107" s="294"/>
      <c r="G6107" s="536" t="str">
        <f>B6107&amp;" "&amp;C6107</f>
        <v>79.06 固定资产报废损失</v>
      </c>
      <c r="H6107" s="322"/>
      <c r="I6107" s="322"/>
      <c r="J6107" s="306" t="s">
        <v>4206</v>
      </c>
      <c r="K6107" s="341">
        <f>VLOOKUP($A6107,Sheet_Trialbal,6,0)</f>
        <v>0</v>
      </c>
      <c r="L6107" s="342"/>
      <c r="M6107" s="306"/>
      <c r="N6107" s="341"/>
      <c r="O6107" s="306"/>
      <c r="P6107" s="301"/>
      <c r="S6107" s="364"/>
      <c r="Z6107" s="609" t="s">
        <v>2032</v>
      </c>
      <c r="AA6107" s="609"/>
    </row>
    <row r="6108" spans="1:27" ht="36">
      <c r="A6108" s="2714" t="s">
        <v>2030</v>
      </c>
      <c r="B6108" s="371">
        <v>1</v>
      </c>
      <c r="C6108" s="371"/>
      <c r="D6108" s="2716" t="str">
        <f>VLOOKUP($A6108,Sheet_NoteList,2,0)</f>
        <v>将净利润调节为经营活动现金流量：固定资产报废损失</v>
      </c>
      <c r="E6108" s="2716" t="s">
        <v>2742</v>
      </c>
      <c r="F6108" s="294"/>
      <c r="G6108" s="372" t="str">
        <f>"("&amp;B6108&amp;")"&amp;D6108</f>
        <v>(1)将净利润调节为经营活动现金流量：固定资产报废损失</v>
      </c>
      <c r="H6108" s="1517" t="str">
        <f>$A6108</f>
        <v>7509a</v>
      </c>
      <c r="I6108" s="343" t="s">
        <v>2743</v>
      </c>
      <c r="J6108" s="301" t="s">
        <v>4712</v>
      </c>
      <c r="K6108" s="2210">
        <f>H6115</f>
        <v>0</v>
      </c>
      <c r="L6108" s="345" t="str">
        <f>IF(ROUND(K6107-K6108,2)=0,"F/S",ROUND(K6107-K6108,2))</f>
        <v>F/S</v>
      </c>
      <c r="M6108" s="532" t="s">
        <v>4713</v>
      </c>
      <c r="N6108" s="3081"/>
      <c r="O6108" s="315"/>
      <c r="P6108" s="301"/>
      <c r="S6108" s="364"/>
      <c r="Z6108" s="609" t="s">
        <v>2032</v>
      </c>
      <c r="AA6108" s="609"/>
    </row>
    <row r="6109" spans="1:27" ht="0.75" customHeight="1" thickBot="1">
      <c r="A6109" s="2714"/>
      <c r="B6109" s="371"/>
      <c r="C6109" s="371"/>
      <c r="D6109" s="371"/>
      <c r="F6109" s="294"/>
      <c r="G6109" s="294" t="s">
        <v>4807</v>
      </c>
      <c r="H6109" s="294" t="s">
        <v>3472</v>
      </c>
      <c r="I6109" s="294" t="s">
        <v>2821</v>
      </c>
      <c r="J6109" s="291"/>
      <c r="K6109" s="291"/>
      <c r="L6109" s="291"/>
      <c r="M6109" s="291"/>
      <c r="S6109" s="364"/>
      <c r="Z6109" s="609" t="s">
        <v>2032</v>
      </c>
      <c r="AA6109" s="609"/>
    </row>
    <row r="6110" spans="1:27" ht="18">
      <c r="A6110" s="2714"/>
      <c r="B6110" s="371"/>
      <c r="C6110" s="371"/>
      <c r="D6110" s="371"/>
      <c r="E6110" s="2716" t="s">
        <v>2749</v>
      </c>
      <c r="F6110" s="294"/>
      <c r="G6110" s="1564" t="s">
        <v>47</v>
      </c>
      <c r="H6110" s="1565" t="s">
        <v>2587</v>
      </c>
      <c r="I6110" s="1566" t="s">
        <v>2508</v>
      </c>
      <c r="J6110" s="291"/>
      <c r="K6110" s="291"/>
      <c r="L6110" s="291"/>
      <c r="M6110" s="291"/>
      <c r="S6110" s="364"/>
      <c r="Z6110" s="609" t="s">
        <v>2032</v>
      </c>
      <c r="AA6110" s="609"/>
    </row>
    <row r="6111" spans="1:27" ht="24">
      <c r="A6111" s="2714"/>
      <c r="B6111" s="371">
        <v>101</v>
      </c>
      <c r="C6111" s="371"/>
      <c r="D6111" s="2716">
        <f>IF(OR(G6111="*",G6111="",G6111=0),0,COUNTIF($G$6111:$G$6115,G6111))</f>
        <v>1</v>
      </c>
      <c r="E6111" s="2721">
        <v>1</v>
      </c>
      <c r="F6111" s="294"/>
      <c r="G6111" s="308" t="s">
        <v>4808</v>
      </c>
      <c r="H6111" s="309"/>
      <c r="I6111" s="388"/>
      <c r="J6111" s="291"/>
      <c r="K6111" s="291"/>
      <c r="L6111" s="291"/>
      <c r="M6111" s="291"/>
      <c r="S6111" s="364"/>
      <c r="Z6111" s="609" t="s">
        <v>2032</v>
      </c>
      <c r="AA6111" s="609"/>
    </row>
    <row r="6112" spans="1:27" ht="18">
      <c r="A6112" s="2714"/>
      <c r="B6112" s="371">
        <v>102</v>
      </c>
      <c r="C6112" s="371" t="s">
        <v>2791</v>
      </c>
      <c r="D6112" s="2716">
        <f>IF(OR(G6112="*",G6112="",G6112=0),0,COUNTIF($G$6111:$G$6115,G6112))</f>
        <v>0</v>
      </c>
      <c r="E6112" s="2721">
        <v>1</v>
      </c>
      <c r="F6112" s="294"/>
      <c r="G6112" s="1563" t="s">
        <v>2792</v>
      </c>
      <c r="H6112" s="309"/>
      <c r="I6112" s="388"/>
      <c r="J6112" s="291"/>
      <c r="K6112" s="291"/>
      <c r="L6112" s="291"/>
      <c r="M6112" s="291"/>
      <c r="S6112" s="364"/>
      <c r="Z6112" s="609" t="s">
        <v>2032</v>
      </c>
      <c r="AA6112" s="609"/>
    </row>
    <row r="6113" spans="1:27" ht="24">
      <c r="A6113" s="2714"/>
      <c r="B6113" s="371">
        <v>103</v>
      </c>
      <c r="C6113" s="371"/>
      <c r="D6113" s="2716">
        <f>IF(OR(G6113="*",G6113="",G6113=0),0,COUNTIF($G$6111:$G$6115,G6113))</f>
        <v>1</v>
      </c>
      <c r="E6113" s="2721">
        <v>-1</v>
      </c>
      <c r="F6113" s="294"/>
      <c r="G6113" s="308" t="s">
        <v>4809</v>
      </c>
      <c r="H6113" s="309"/>
      <c r="I6113" s="388"/>
      <c r="J6113" s="291"/>
      <c r="K6113" s="291"/>
      <c r="L6113" s="291"/>
      <c r="M6113" s="291"/>
      <c r="S6113" s="364"/>
      <c r="Z6113" s="609" t="s">
        <v>2032</v>
      </c>
      <c r="AA6113" s="609"/>
    </row>
    <row r="6114" spans="1:27" ht="18">
      <c r="A6114" s="2714"/>
      <c r="B6114" s="371">
        <v>104</v>
      </c>
      <c r="C6114" s="371" t="s">
        <v>2791</v>
      </c>
      <c r="D6114" s="2716">
        <f>IF(OR(G6114="*",G6114="",G6114=0),0,COUNTIF($G$6111:$G$6115,G6114))</f>
        <v>0</v>
      </c>
      <c r="E6114" s="2721">
        <v>-1</v>
      </c>
      <c r="F6114" s="294"/>
      <c r="G6114" s="1563" t="s">
        <v>2792</v>
      </c>
      <c r="H6114" s="309"/>
      <c r="I6114" s="388"/>
      <c r="J6114" s="291"/>
      <c r="K6114" s="291"/>
      <c r="L6114" s="291"/>
      <c r="M6114" s="291"/>
      <c r="S6114" s="364"/>
      <c r="Z6114" s="609" t="s">
        <v>2032</v>
      </c>
      <c r="AA6114" s="609"/>
    </row>
    <row r="6115" spans="1:27" ht="18.75" thickBot="1">
      <c r="A6115" s="2714"/>
      <c r="B6115" s="371"/>
      <c r="C6115" s="371"/>
      <c r="D6115" s="2716">
        <f>IF(OR(G6115="*",G6115="",G6115=0),0,COUNTIF($G$6111:$G$6115,G6115))</f>
        <v>1</v>
      </c>
      <c r="E6115" s="2721" t="s">
        <v>2751</v>
      </c>
      <c r="F6115" s="294"/>
      <c r="G6115" s="1529" t="s">
        <v>2752</v>
      </c>
      <c r="H6115" s="1527">
        <f>SUMPRODUCT($E6110:$E6114,H6110:H6114)</f>
        <v>0</v>
      </c>
      <c r="I6115" s="1571"/>
      <c r="J6115" s="291"/>
      <c r="K6115" s="291"/>
      <c r="L6115" s="291"/>
      <c r="M6115" s="291"/>
      <c r="S6115" s="364"/>
      <c r="Z6115" s="609" t="s">
        <v>2032</v>
      </c>
      <c r="AA6115" s="609"/>
    </row>
    <row r="6116" spans="1:27" ht="18">
      <c r="A6116" s="2714"/>
      <c r="B6116" s="371"/>
      <c r="C6116" s="371" t="s">
        <v>2755</v>
      </c>
      <c r="D6116" s="371"/>
      <c r="F6116" s="294"/>
      <c r="G6116" s="301"/>
      <c r="H6116" s="315"/>
      <c r="I6116" s="393"/>
      <c r="J6116" s="291"/>
      <c r="K6116" s="291"/>
      <c r="L6116" s="291"/>
      <c r="M6116" s="291"/>
      <c r="S6116" s="364"/>
      <c r="Z6116" s="609" t="s">
        <v>2032</v>
      </c>
      <c r="AA6116" s="609"/>
    </row>
    <row r="6117" spans="1:27" ht="18">
      <c r="A6117" s="2714">
        <v>7510</v>
      </c>
      <c r="B6117" s="371">
        <v>79.069999999999993</v>
      </c>
      <c r="C6117" s="2716" t="str">
        <f>VLOOKUP($A6117,Sheet_Items,2,0)</f>
        <v>公允价值变动损失</v>
      </c>
      <c r="D6117" s="371"/>
      <c r="E6117" s="2716" t="s">
        <v>2739</v>
      </c>
      <c r="F6117" s="294"/>
      <c r="G6117" s="536" t="str">
        <f>B6117&amp;" "&amp;C6117</f>
        <v>79.07 公允价值变动损失</v>
      </c>
      <c r="H6117" s="322"/>
      <c r="I6117" s="322"/>
      <c r="J6117" s="306" t="s">
        <v>4206</v>
      </c>
      <c r="K6117" s="341">
        <f>VLOOKUP($A6117,Sheet_Trialbal,6,0)</f>
        <v>0</v>
      </c>
      <c r="L6117" s="342"/>
      <c r="M6117" s="306"/>
      <c r="N6117" s="341"/>
      <c r="O6117" s="306"/>
      <c r="P6117" s="301"/>
      <c r="S6117" s="364"/>
      <c r="Z6117" s="609" t="s">
        <v>2037</v>
      </c>
      <c r="AA6117" s="609"/>
    </row>
    <row r="6118" spans="1:27" ht="36">
      <c r="A6118" s="2714" t="s">
        <v>2035</v>
      </c>
      <c r="B6118" s="371">
        <v>1</v>
      </c>
      <c r="C6118" s="371"/>
      <c r="D6118" s="2716" t="str">
        <f>VLOOKUP($A6118,Sheet_NoteList,2,0)</f>
        <v>将净利润调节为经营活动现金流量：公允价值变动损失</v>
      </c>
      <c r="E6118" s="2716" t="s">
        <v>2742</v>
      </c>
      <c r="F6118" s="294"/>
      <c r="G6118" s="372" t="str">
        <f>"("&amp;B6118&amp;")"&amp;D6118</f>
        <v>(1)将净利润调节为经营活动现金流量：公允价值变动损失</v>
      </c>
      <c r="H6118" s="1517" t="str">
        <f>$A6118</f>
        <v>7510a</v>
      </c>
      <c r="I6118" s="343" t="s">
        <v>2743</v>
      </c>
      <c r="J6118" s="301" t="s">
        <v>4712</v>
      </c>
      <c r="K6118" s="2210">
        <f>H6124</f>
        <v>0</v>
      </c>
      <c r="L6118" s="345" t="str">
        <f>IF(ROUND(K6117-K6118,2)=0,"F/S",ROUND(K6117-K6118,2))</f>
        <v>F/S</v>
      </c>
      <c r="M6118" s="532" t="s">
        <v>4713</v>
      </c>
      <c r="N6118" s="3081"/>
      <c r="O6118" s="315"/>
      <c r="P6118" s="301"/>
      <c r="S6118" s="364"/>
      <c r="Z6118" s="609" t="s">
        <v>2037</v>
      </c>
      <c r="AA6118" s="609"/>
    </row>
    <row r="6119" spans="1:27" ht="0.75" customHeight="1" thickBot="1">
      <c r="A6119" s="2714"/>
      <c r="B6119" s="371"/>
      <c r="C6119" s="371"/>
      <c r="D6119" s="371"/>
      <c r="F6119" s="294"/>
      <c r="G6119" s="294" t="s">
        <v>4810</v>
      </c>
      <c r="H6119" s="294" t="s">
        <v>3472</v>
      </c>
      <c r="I6119" s="294" t="s">
        <v>2821</v>
      </c>
      <c r="J6119" s="291"/>
      <c r="K6119" s="291"/>
      <c r="L6119" s="291"/>
      <c r="M6119" s="291"/>
      <c r="S6119" s="364"/>
      <c r="Z6119" s="609" t="s">
        <v>2037</v>
      </c>
      <c r="AA6119" s="609"/>
    </row>
    <row r="6120" spans="1:27" ht="18">
      <c r="A6120" s="2714"/>
      <c r="B6120" s="371"/>
      <c r="C6120" s="371"/>
      <c r="D6120" s="371"/>
      <c r="E6120" s="2716" t="s">
        <v>2749</v>
      </c>
      <c r="F6120" s="294"/>
      <c r="G6120" s="1564" t="s">
        <v>47</v>
      </c>
      <c r="H6120" s="1565" t="s">
        <v>2587</v>
      </c>
      <c r="I6120" s="1566" t="s">
        <v>2508</v>
      </c>
      <c r="J6120" s="291"/>
      <c r="K6120" s="291"/>
      <c r="L6120" s="291"/>
      <c r="M6120" s="291"/>
      <c r="S6120" s="364"/>
      <c r="Z6120" s="609" t="s">
        <v>2037</v>
      </c>
      <c r="AA6120" s="609"/>
    </row>
    <row r="6121" spans="1:27" ht="18">
      <c r="A6121" s="2714"/>
      <c r="B6121" s="371">
        <v>101</v>
      </c>
      <c r="C6121" s="371"/>
      <c r="D6121" s="2716">
        <f>IF(OR(G6121="*",G6121="",G6121=0),0,COUNTIF($G$6121:$G$6124,G6121))</f>
        <v>1</v>
      </c>
      <c r="E6121" s="2721">
        <v>1</v>
      </c>
      <c r="F6121" s="294"/>
      <c r="G6121" s="308" t="s">
        <v>4811</v>
      </c>
      <c r="H6121" s="309"/>
      <c r="I6121" s="388"/>
      <c r="J6121" s="291"/>
      <c r="K6121" s="291"/>
      <c r="L6121" s="291"/>
      <c r="M6121" s="291"/>
      <c r="S6121" s="364"/>
      <c r="Z6121" s="609" t="s">
        <v>2037</v>
      </c>
      <c r="AA6121" s="609"/>
    </row>
    <row r="6122" spans="1:27" ht="18">
      <c r="A6122" s="2714"/>
      <c r="B6122" s="371">
        <v>102</v>
      </c>
      <c r="C6122" s="371" t="s">
        <v>2791</v>
      </c>
      <c r="D6122" s="2716">
        <f>IF(OR(G6122="*",G6122="",G6122=0),0,COUNTIF($G$6121:$G$6124,G6122))</f>
        <v>0</v>
      </c>
      <c r="E6122" s="2721">
        <v>1</v>
      </c>
      <c r="F6122" s="294"/>
      <c r="G6122" s="1563" t="s">
        <v>2792</v>
      </c>
      <c r="H6122" s="309"/>
      <c r="I6122" s="388"/>
      <c r="J6122" s="291"/>
      <c r="K6122" s="291"/>
      <c r="L6122" s="291"/>
      <c r="M6122" s="291"/>
      <c r="S6122" s="364"/>
      <c r="Z6122" s="609" t="s">
        <v>2037</v>
      </c>
      <c r="AA6122" s="609"/>
    </row>
    <row r="6123" spans="1:27" ht="18">
      <c r="A6123" s="2714"/>
      <c r="B6123" s="371">
        <v>103</v>
      </c>
      <c r="C6123" s="371" t="s">
        <v>2791</v>
      </c>
      <c r="D6123" s="2716">
        <f>IF(OR(G6123="*",G6123="",G6123=0),0,COUNTIF($G$6121:$G$6124,G6123))</f>
        <v>0</v>
      </c>
      <c r="E6123" s="2721">
        <v>1</v>
      </c>
      <c r="F6123" s="294"/>
      <c r="G6123" s="1563" t="s">
        <v>2792</v>
      </c>
      <c r="H6123" s="309"/>
      <c r="I6123" s="388"/>
      <c r="J6123" s="291"/>
      <c r="K6123" s="291"/>
      <c r="L6123" s="291"/>
      <c r="M6123" s="291"/>
      <c r="S6123" s="364"/>
      <c r="Z6123" s="609" t="s">
        <v>2037</v>
      </c>
      <c r="AA6123" s="609"/>
    </row>
    <row r="6124" spans="1:27" ht="18.75" thickBot="1">
      <c r="A6124" s="2714"/>
      <c r="B6124" s="371"/>
      <c r="C6124" s="371"/>
      <c r="D6124" s="2716">
        <f>IF(OR(G6124="*",G6124="",G6124=0),0,COUNTIF($G$6121:$G$6124,G6124))</f>
        <v>1</v>
      </c>
      <c r="E6124" s="2721" t="s">
        <v>2751</v>
      </c>
      <c r="F6124" s="294"/>
      <c r="G6124" s="1529" t="s">
        <v>2752</v>
      </c>
      <c r="H6124" s="1527">
        <f>SUMPRODUCT($E6120:$E6123,H6120:H6123)</f>
        <v>0</v>
      </c>
      <c r="I6124" s="1571"/>
      <c r="J6124" s="291"/>
      <c r="K6124" s="291"/>
      <c r="L6124" s="291"/>
      <c r="M6124" s="291"/>
      <c r="S6124" s="364"/>
      <c r="Z6124" s="609" t="s">
        <v>2037</v>
      </c>
      <c r="AA6124" s="609"/>
    </row>
    <row r="6125" spans="1:27" ht="18">
      <c r="A6125" s="2714"/>
      <c r="B6125" s="371"/>
      <c r="C6125" s="371" t="s">
        <v>2755</v>
      </c>
      <c r="D6125" s="371"/>
      <c r="F6125" s="294"/>
      <c r="G6125" s="301"/>
      <c r="H6125" s="315"/>
      <c r="I6125" s="393"/>
      <c r="J6125" s="291"/>
      <c r="K6125" s="291"/>
      <c r="L6125" s="291"/>
      <c r="M6125" s="291"/>
      <c r="S6125" s="364"/>
      <c r="Z6125" s="609" t="s">
        <v>2037</v>
      </c>
      <c r="AA6125" s="609"/>
    </row>
    <row r="6126" spans="1:27" ht="18">
      <c r="A6126" s="2714">
        <v>7511</v>
      </c>
      <c r="B6126" s="371">
        <v>79.08</v>
      </c>
      <c r="C6126" s="2716" t="str">
        <f>VLOOKUP($A6126,Sheet_Items,2,0)</f>
        <v>财务费用金额</v>
      </c>
      <c r="D6126" s="371"/>
      <c r="E6126" s="2716" t="s">
        <v>2739</v>
      </c>
      <c r="F6126" s="294"/>
      <c r="G6126" s="536" t="str">
        <f>B6126&amp;" "&amp;C6126</f>
        <v>79.08 财务费用金额</v>
      </c>
      <c r="H6126" s="322"/>
      <c r="I6126" s="322"/>
      <c r="J6126" s="306" t="s">
        <v>4206</v>
      </c>
      <c r="K6126" s="341">
        <f>VLOOKUP($A6126,Sheet_Trialbal,6,0)</f>
        <v>0</v>
      </c>
      <c r="L6126" s="342"/>
      <c r="M6126" s="306"/>
      <c r="N6126" s="341"/>
      <c r="O6126" s="306"/>
      <c r="P6126" s="301"/>
      <c r="S6126" s="364"/>
      <c r="Z6126" s="609" t="s">
        <v>2040</v>
      </c>
      <c r="AA6126" s="609"/>
    </row>
    <row r="6127" spans="1:27" ht="24">
      <c r="A6127" s="2714" t="s">
        <v>2038</v>
      </c>
      <c r="B6127" s="371">
        <v>1</v>
      </c>
      <c r="C6127" s="371"/>
      <c r="D6127" s="2716" t="str">
        <f>VLOOKUP($A6127,Sheet_NoteList,2,0)</f>
        <v>将净利润调节为经营活动现金流量：财务费用金额</v>
      </c>
      <c r="E6127" s="2716" t="s">
        <v>2742</v>
      </c>
      <c r="F6127" s="294"/>
      <c r="G6127" s="372" t="str">
        <f>"("&amp;B6127&amp;")"&amp;D6127</f>
        <v>(1)将净利润调节为经营活动现金流量：财务费用金额</v>
      </c>
      <c r="H6127" s="1517" t="str">
        <f>$A6127</f>
        <v>7511a</v>
      </c>
      <c r="I6127" s="343" t="s">
        <v>2743</v>
      </c>
      <c r="J6127" s="301" t="s">
        <v>4712</v>
      </c>
      <c r="K6127" s="2210">
        <f>H6135</f>
        <v>0</v>
      </c>
      <c r="L6127" s="345" t="str">
        <f>IF(ROUND(K6126-K6127,2)=0,"F/S",ROUND(K6126-K6127,2))</f>
        <v>F/S</v>
      </c>
      <c r="M6127" s="532" t="s">
        <v>4713</v>
      </c>
      <c r="N6127" s="3081"/>
      <c r="O6127" s="315"/>
      <c r="P6127" s="301"/>
      <c r="S6127" s="364"/>
      <c r="Z6127" s="609" t="s">
        <v>2040</v>
      </c>
      <c r="AA6127" s="609"/>
    </row>
    <row r="6128" spans="1:27" ht="0.75" customHeight="1" thickBot="1">
      <c r="A6128" s="2714"/>
      <c r="B6128" s="371"/>
      <c r="C6128" s="371"/>
      <c r="D6128" s="371"/>
      <c r="F6128" s="294"/>
      <c r="G6128" s="294" t="s">
        <v>4812</v>
      </c>
      <c r="H6128" s="294" t="s">
        <v>3472</v>
      </c>
      <c r="I6128" s="294" t="s">
        <v>2821</v>
      </c>
      <c r="J6128" s="291"/>
      <c r="K6128" s="291"/>
      <c r="L6128" s="291"/>
      <c r="M6128" s="291"/>
      <c r="S6128" s="364"/>
      <c r="Z6128" s="609" t="s">
        <v>2040</v>
      </c>
      <c r="AA6128" s="609"/>
    </row>
    <row r="6129" spans="1:27" ht="18">
      <c r="A6129" s="2714"/>
      <c r="B6129" s="371"/>
      <c r="C6129" s="371"/>
      <c r="D6129" s="371"/>
      <c r="E6129" s="2716" t="s">
        <v>2749</v>
      </c>
      <c r="F6129" s="294"/>
      <c r="G6129" s="1564" t="s">
        <v>47</v>
      </c>
      <c r="H6129" s="1565" t="s">
        <v>2587</v>
      </c>
      <c r="I6129" s="1566" t="s">
        <v>2508</v>
      </c>
      <c r="J6129" s="291"/>
      <c r="K6129" s="291"/>
      <c r="L6129" s="291"/>
      <c r="M6129" s="291"/>
      <c r="S6129" s="364"/>
      <c r="Z6129" s="609" t="s">
        <v>2040</v>
      </c>
      <c r="AA6129" s="609"/>
    </row>
    <row r="6130" spans="1:27" ht="18">
      <c r="A6130" s="2714"/>
      <c r="B6130" s="371">
        <v>101</v>
      </c>
      <c r="C6130" s="371"/>
      <c r="D6130" s="2716">
        <f t="shared" ref="D6130:D6135" si="642">IF(OR(G6130="*",G6130="",G6130=0),0,COUNTIF($G$6130:$G$6135,G6130))</f>
        <v>1</v>
      </c>
      <c r="E6130" s="2721">
        <v>1</v>
      </c>
      <c r="F6130" s="294"/>
      <c r="G6130" s="308" t="s">
        <v>771</v>
      </c>
      <c r="H6130" s="309"/>
      <c r="I6130" s="388"/>
      <c r="J6130" s="291"/>
      <c r="K6130" s="291"/>
      <c r="L6130" s="291"/>
      <c r="M6130" s="291"/>
      <c r="S6130" s="364"/>
      <c r="Z6130" s="609" t="s">
        <v>2040</v>
      </c>
      <c r="AA6130" s="609"/>
    </row>
    <row r="6131" spans="1:27" ht="18">
      <c r="A6131" s="2714"/>
      <c r="B6131" s="371">
        <v>102</v>
      </c>
      <c r="C6131" s="371"/>
      <c r="D6131" s="2716">
        <f t="shared" si="642"/>
        <v>1</v>
      </c>
      <c r="E6131" s="2721">
        <v>-1</v>
      </c>
      <c r="F6131" s="294"/>
      <c r="G6131" s="308" t="s">
        <v>4271</v>
      </c>
      <c r="H6131" s="309"/>
      <c r="I6131" s="388"/>
      <c r="J6131" s="291"/>
      <c r="K6131" s="291"/>
      <c r="L6131" s="291"/>
      <c r="M6131" s="291"/>
      <c r="S6131" s="364"/>
      <c r="Z6131" s="609" t="s">
        <v>2040</v>
      </c>
      <c r="AA6131" s="609"/>
    </row>
    <row r="6132" spans="1:27" ht="24">
      <c r="A6132" s="2714"/>
      <c r="B6132" s="371">
        <v>103</v>
      </c>
      <c r="C6132" s="371"/>
      <c r="D6132" s="2716">
        <f t="shared" si="642"/>
        <v>1</v>
      </c>
      <c r="E6132" s="2721">
        <v>1</v>
      </c>
      <c r="F6132" s="294"/>
      <c r="G6132" s="308" t="s">
        <v>4813</v>
      </c>
      <c r="H6132" s="309"/>
      <c r="I6132" s="388"/>
      <c r="J6132" s="291"/>
      <c r="K6132" s="291"/>
      <c r="L6132" s="291"/>
      <c r="M6132" s="291"/>
      <c r="S6132" s="364"/>
      <c r="Z6132" s="609" t="s">
        <v>2040</v>
      </c>
      <c r="AA6132" s="609"/>
    </row>
    <row r="6133" spans="1:27" ht="24">
      <c r="A6133" s="2714"/>
      <c r="B6133" s="371">
        <v>104</v>
      </c>
      <c r="C6133" s="371"/>
      <c r="D6133" s="2716">
        <f t="shared" si="642"/>
        <v>1</v>
      </c>
      <c r="E6133" s="2721">
        <v>1</v>
      </c>
      <c r="F6133" s="294"/>
      <c r="G6133" s="308" t="s">
        <v>4814</v>
      </c>
      <c r="H6133" s="309"/>
      <c r="I6133" s="388"/>
      <c r="J6133" s="291"/>
      <c r="K6133" s="291"/>
      <c r="L6133" s="291"/>
      <c r="M6133" s="291"/>
      <c r="S6133" s="364"/>
      <c r="Z6133" s="609" t="s">
        <v>2040</v>
      </c>
      <c r="AA6133" s="609"/>
    </row>
    <row r="6134" spans="1:27" ht="18">
      <c r="A6134" s="2714"/>
      <c r="B6134" s="371">
        <v>108</v>
      </c>
      <c r="C6134" s="371" t="s">
        <v>2791</v>
      </c>
      <c r="D6134" s="2716">
        <f t="shared" si="642"/>
        <v>0</v>
      </c>
      <c r="E6134" s="2721">
        <v>1</v>
      </c>
      <c r="F6134" s="294"/>
      <c r="G6134" s="1563" t="s">
        <v>2792</v>
      </c>
      <c r="H6134" s="309"/>
      <c r="I6134" s="388"/>
      <c r="J6134" s="291"/>
      <c r="K6134" s="291"/>
      <c r="L6134" s="291"/>
      <c r="M6134" s="291"/>
      <c r="S6134" s="364"/>
      <c r="Z6134" s="609" t="s">
        <v>2040</v>
      </c>
      <c r="AA6134" s="609"/>
    </row>
    <row r="6135" spans="1:27" ht="18.75" thickBot="1">
      <c r="A6135" s="2714"/>
      <c r="B6135" s="371"/>
      <c r="C6135" s="371"/>
      <c r="D6135" s="2716">
        <f t="shared" si="642"/>
        <v>1</v>
      </c>
      <c r="E6135" s="2721" t="s">
        <v>2751</v>
      </c>
      <c r="F6135" s="294"/>
      <c r="G6135" s="1529" t="s">
        <v>2752</v>
      </c>
      <c r="H6135" s="1527">
        <f>SUMPRODUCT($E6129:$E6134,H6129:H6134)</f>
        <v>0</v>
      </c>
      <c r="I6135" s="1571"/>
      <c r="J6135" s="532"/>
      <c r="K6135" s="291"/>
      <c r="L6135" s="291"/>
      <c r="M6135" s="291"/>
      <c r="S6135" s="364"/>
      <c r="Z6135" s="609" t="s">
        <v>2040</v>
      </c>
      <c r="AA6135" s="609"/>
    </row>
    <row r="6136" spans="1:27" ht="18">
      <c r="A6136" s="2714"/>
      <c r="B6136" s="371"/>
      <c r="C6136" s="371" t="s">
        <v>2755</v>
      </c>
      <c r="D6136" s="371"/>
      <c r="F6136" s="294"/>
      <c r="G6136" s="301"/>
      <c r="H6136" s="315"/>
      <c r="I6136" s="393"/>
      <c r="J6136" s="291"/>
      <c r="K6136" s="291"/>
      <c r="L6136" s="291"/>
      <c r="M6136" s="291"/>
      <c r="S6136" s="364"/>
      <c r="Z6136" s="609" t="s">
        <v>2040</v>
      </c>
      <c r="AA6136" s="609"/>
    </row>
    <row r="6137" spans="1:27" ht="18">
      <c r="A6137" s="2714">
        <v>7512</v>
      </c>
      <c r="B6137" s="371">
        <v>79.09</v>
      </c>
      <c r="C6137" s="2716" t="str">
        <f>VLOOKUP($A6137,Sheet_Items,2,0)</f>
        <v>投资损失</v>
      </c>
      <c r="D6137" s="371"/>
      <c r="E6137" s="2716" t="s">
        <v>2739</v>
      </c>
      <c r="F6137" s="294"/>
      <c r="G6137" s="536" t="str">
        <f>B6137&amp;" "&amp;C6137</f>
        <v>79.09 投资损失</v>
      </c>
      <c r="H6137" s="322"/>
      <c r="I6137" s="322"/>
      <c r="J6137" s="306" t="s">
        <v>4206</v>
      </c>
      <c r="K6137" s="341">
        <f>VLOOKUP($A6137,Sheet_Trialbal,6,0)</f>
        <v>0</v>
      </c>
      <c r="L6137" s="342"/>
      <c r="M6137" s="306"/>
      <c r="N6137" s="341"/>
      <c r="O6137" s="306"/>
      <c r="P6137" s="301"/>
      <c r="S6137" s="364"/>
      <c r="Z6137" s="609" t="s">
        <v>2044</v>
      </c>
      <c r="AA6137" s="609"/>
    </row>
    <row r="6138" spans="1:27" ht="24">
      <c r="A6138" s="2714" t="s">
        <v>2042</v>
      </c>
      <c r="B6138" s="371">
        <v>1</v>
      </c>
      <c r="C6138" s="371"/>
      <c r="D6138" s="2716" t="str">
        <f>VLOOKUP($A6138,Sheet_NoteList,2,0)</f>
        <v>将净利润调节为经营活动现金流量：投资损失</v>
      </c>
      <c r="E6138" s="2716" t="s">
        <v>2742</v>
      </c>
      <c r="F6138" s="294"/>
      <c r="G6138" s="372" t="str">
        <f>"("&amp;B6138&amp;")"&amp;D6138</f>
        <v>(1)将净利润调节为经营活动现金流量：投资损失</v>
      </c>
      <c r="H6138" s="1517" t="str">
        <f>$A6138</f>
        <v>7512a</v>
      </c>
      <c r="I6138" s="343" t="s">
        <v>2743</v>
      </c>
      <c r="J6138" s="301" t="s">
        <v>4712</v>
      </c>
      <c r="K6138" s="2210">
        <f>H6144</f>
        <v>0</v>
      </c>
      <c r="L6138" s="345" t="str">
        <f>IF(ROUND(K6137-K6138,2)=0,"F/S",ROUND(K6137-K6138,2))</f>
        <v>F/S</v>
      </c>
      <c r="M6138" s="532" t="s">
        <v>4713</v>
      </c>
      <c r="N6138" s="3081"/>
      <c r="O6138" s="315"/>
      <c r="P6138" s="301"/>
      <c r="S6138" s="364"/>
      <c r="Z6138" s="609" t="s">
        <v>2044</v>
      </c>
      <c r="AA6138" s="609"/>
    </row>
    <row r="6139" spans="1:27" ht="0.75" customHeight="1" thickBot="1">
      <c r="A6139" s="2714"/>
      <c r="B6139" s="371"/>
      <c r="C6139" s="371"/>
      <c r="D6139" s="371"/>
      <c r="F6139" s="294"/>
      <c r="G6139" s="294" t="s">
        <v>4815</v>
      </c>
      <c r="H6139" s="294" t="s">
        <v>3472</v>
      </c>
      <c r="I6139" s="294" t="s">
        <v>2821</v>
      </c>
      <c r="J6139" s="291"/>
      <c r="K6139" s="291"/>
      <c r="L6139" s="291"/>
      <c r="M6139" s="291"/>
      <c r="S6139" s="364"/>
      <c r="Z6139" s="609" t="s">
        <v>2044</v>
      </c>
      <c r="AA6139" s="609"/>
    </row>
    <row r="6140" spans="1:27" ht="18">
      <c r="A6140" s="2714"/>
      <c r="B6140" s="371"/>
      <c r="C6140" s="371"/>
      <c r="D6140" s="371"/>
      <c r="E6140" s="2716" t="s">
        <v>2749</v>
      </c>
      <c r="F6140" s="294"/>
      <c r="G6140" s="1564" t="s">
        <v>47</v>
      </c>
      <c r="H6140" s="1565" t="s">
        <v>2587</v>
      </c>
      <c r="I6140" s="1566" t="s">
        <v>2508</v>
      </c>
      <c r="J6140" s="291"/>
      <c r="K6140" s="291"/>
      <c r="L6140" s="291"/>
      <c r="M6140" s="291"/>
      <c r="S6140" s="364"/>
      <c r="Z6140" s="609" t="s">
        <v>2044</v>
      </c>
      <c r="AA6140" s="609"/>
    </row>
    <row r="6141" spans="1:27" ht="18">
      <c r="A6141" s="2714"/>
      <c r="B6141" s="371">
        <v>101</v>
      </c>
      <c r="C6141" s="371"/>
      <c r="D6141" s="2716">
        <f>IF(OR(G6141="*",G6141="",G6141=0),0,COUNTIF($G$6141:$G$6144,G6141))</f>
        <v>1</v>
      </c>
      <c r="E6141" s="2721">
        <v>1</v>
      </c>
      <c r="F6141" s="294"/>
      <c r="G6141" s="308" t="s">
        <v>843</v>
      </c>
      <c r="H6141" s="309"/>
      <c r="I6141" s="388"/>
      <c r="J6141" s="291"/>
      <c r="K6141" s="291"/>
      <c r="L6141" s="291"/>
      <c r="M6141" s="291"/>
      <c r="S6141" s="364"/>
      <c r="Z6141" s="609" t="s">
        <v>2044</v>
      </c>
      <c r="AA6141" s="609"/>
    </row>
    <row r="6142" spans="1:27" ht="18">
      <c r="A6142" s="2714"/>
      <c r="B6142" s="371">
        <v>102</v>
      </c>
      <c r="C6142" s="371" t="s">
        <v>2791</v>
      </c>
      <c r="D6142" s="2716">
        <f>IF(OR(G6142="*",G6142="",G6142=0),0,COUNTIF($G$6141:$G$6144,G6142))</f>
        <v>0</v>
      </c>
      <c r="E6142" s="2721">
        <v>1</v>
      </c>
      <c r="F6142" s="294"/>
      <c r="G6142" s="1563" t="s">
        <v>2792</v>
      </c>
      <c r="H6142" s="309"/>
      <c r="I6142" s="388"/>
      <c r="J6142" s="291"/>
      <c r="K6142" s="291"/>
      <c r="L6142" s="291"/>
      <c r="M6142" s="291"/>
      <c r="S6142" s="364"/>
      <c r="Z6142" s="609" t="s">
        <v>2044</v>
      </c>
      <c r="AA6142" s="609"/>
    </row>
    <row r="6143" spans="1:27" ht="18">
      <c r="A6143" s="2714"/>
      <c r="B6143" s="371">
        <v>103</v>
      </c>
      <c r="C6143" s="371" t="s">
        <v>2791</v>
      </c>
      <c r="D6143" s="2716">
        <f>IF(OR(G6143="*",G6143="",G6143=0),0,COUNTIF($G$6141:$G$6144,G6143))</f>
        <v>0</v>
      </c>
      <c r="E6143" s="2721">
        <v>1</v>
      </c>
      <c r="F6143" s="294"/>
      <c r="G6143" s="1563" t="s">
        <v>2792</v>
      </c>
      <c r="H6143" s="309"/>
      <c r="I6143" s="388"/>
      <c r="J6143" s="291"/>
      <c r="K6143" s="291"/>
      <c r="L6143" s="291"/>
      <c r="M6143" s="291"/>
      <c r="S6143" s="364"/>
      <c r="Z6143" s="609" t="s">
        <v>2044</v>
      </c>
      <c r="AA6143" s="609"/>
    </row>
    <row r="6144" spans="1:27" ht="18.75" thickBot="1">
      <c r="A6144" s="2714"/>
      <c r="B6144" s="371"/>
      <c r="C6144" s="371"/>
      <c r="D6144" s="2716">
        <f>IF(OR(G6144="*",G6144="",G6144=0),0,COUNTIF($G$6141:$G$6144,G6144))</f>
        <v>1</v>
      </c>
      <c r="E6144" s="2721" t="s">
        <v>2751</v>
      </c>
      <c r="F6144" s="294"/>
      <c r="G6144" s="1529" t="s">
        <v>2752</v>
      </c>
      <c r="H6144" s="1527">
        <f>SUMPRODUCT($E6140:$E6143,H6140:H6143)</f>
        <v>0</v>
      </c>
      <c r="I6144" s="1571"/>
      <c r="J6144" s="291"/>
      <c r="K6144" s="291"/>
      <c r="L6144" s="291"/>
      <c r="M6144" s="291"/>
      <c r="S6144" s="364"/>
      <c r="Z6144" s="609" t="s">
        <v>2044</v>
      </c>
      <c r="AA6144" s="609"/>
    </row>
    <row r="6145" spans="1:27" ht="18">
      <c r="A6145" s="2714"/>
      <c r="B6145" s="371"/>
      <c r="C6145" s="371" t="s">
        <v>2755</v>
      </c>
      <c r="D6145" s="371"/>
      <c r="F6145" s="294"/>
      <c r="G6145" s="301"/>
      <c r="H6145" s="315"/>
      <c r="I6145" s="393"/>
      <c r="J6145" s="291"/>
      <c r="K6145" s="291"/>
      <c r="L6145" s="291"/>
      <c r="M6145" s="291"/>
      <c r="S6145" s="364"/>
      <c r="Z6145" s="609" t="s">
        <v>2044</v>
      </c>
      <c r="AA6145" s="609"/>
    </row>
    <row r="6146" spans="1:27" ht="18">
      <c r="A6146" s="2714">
        <v>7515</v>
      </c>
      <c r="B6146" s="371">
        <v>79.099999999999994</v>
      </c>
      <c r="C6146" s="2716" t="str">
        <f>VLOOKUP($A6146,Sheet_Items,2,0)</f>
        <v>递延所得税资产减少</v>
      </c>
      <c r="D6146" s="371"/>
      <c r="E6146" s="2716" t="s">
        <v>2739</v>
      </c>
      <c r="F6146" s="294"/>
      <c r="G6146" s="536" t="str">
        <f>B6146&amp;" "&amp;C6146</f>
        <v>79.1 递延所得税资产减少</v>
      </c>
      <c r="H6146" s="322"/>
      <c r="I6146" s="322"/>
      <c r="J6146" s="306" t="s">
        <v>4206</v>
      </c>
      <c r="K6146" s="341">
        <f>VLOOKUP($A6146,Sheet_Trialbal,6,0)</f>
        <v>-1090974.7</v>
      </c>
      <c r="L6146" s="342"/>
      <c r="M6146" s="306"/>
      <c r="N6146" s="341"/>
      <c r="O6146" s="306"/>
      <c r="P6146" s="301"/>
      <c r="S6146" s="364"/>
      <c r="Z6146" s="609" t="s">
        <v>2047</v>
      </c>
      <c r="AA6146" s="609"/>
    </row>
    <row r="6147" spans="1:27" ht="36">
      <c r="A6147" s="2714" t="s">
        <v>2045</v>
      </c>
      <c r="B6147" s="371">
        <v>1</v>
      </c>
      <c r="C6147" s="371"/>
      <c r="D6147" s="2716" t="str">
        <f>VLOOKUP($A6147,Sheet_NoteList,2,0)</f>
        <v>将净利润调节为经营活动现金流量：递延所得税资产减少</v>
      </c>
      <c r="E6147" s="2716" t="s">
        <v>2742</v>
      </c>
      <c r="F6147" s="294"/>
      <c r="G6147" s="372" t="str">
        <f>"("&amp;B6147&amp;")"&amp;D6147</f>
        <v>(1)将净利润调节为经营活动现金流量：递延所得税资产减少</v>
      </c>
      <c r="H6147" s="1517" t="str">
        <f>$A6147</f>
        <v>7515a</v>
      </c>
      <c r="I6147" s="343" t="s">
        <v>2743</v>
      </c>
      <c r="J6147" s="301" t="s">
        <v>4712</v>
      </c>
      <c r="K6147" s="2210">
        <f>J6153</f>
        <v>0</v>
      </c>
      <c r="L6147" s="345">
        <f>IF(ROUND(K6146-K6147,2)=0,"F/S",ROUND(K6146-K6147,2))</f>
        <v>-1090974.7</v>
      </c>
      <c r="M6147" s="532" t="s">
        <v>4713</v>
      </c>
      <c r="N6147" s="3081"/>
      <c r="O6147" s="315"/>
      <c r="P6147" s="301"/>
      <c r="S6147" s="364"/>
      <c r="Z6147" s="609" t="s">
        <v>2047</v>
      </c>
      <c r="AA6147" s="609"/>
    </row>
    <row r="6148" spans="1:27" ht="0.75" customHeight="1" thickBot="1">
      <c r="A6148" s="2714"/>
      <c r="B6148" s="371"/>
      <c r="C6148" s="371"/>
      <c r="D6148" s="371"/>
      <c r="F6148" s="294"/>
      <c r="G6148" s="294" t="s">
        <v>4816</v>
      </c>
      <c r="H6148" s="294" t="s">
        <v>2747</v>
      </c>
      <c r="I6148" s="294" t="s">
        <v>2748</v>
      </c>
      <c r="J6148" s="294" t="s">
        <v>3256</v>
      </c>
      <c r="K6148" s="294" t="s">
        <v>2898</v>
      </c>
      <c r="L6148" s="291"/>
      <c r="M6148" s="291"/>
      <c r="N6148" s="291"/>
      <c r="O6148" s="291"/>
      <c r="S6148" s="364"/>
      <c r="Z6148" s="609" t="s">
        <v>2047</v>
      </c>
      <c r="AA6148" s="609"/>
    </row>
    <row r="6149" spans="1:27" ht="18">
      <c r="A6149" s="2714"/>
      <c r="B6149" s="371"/>
      <c r="C6149" s="371"/>
      <c r="D6149" s="371"/>
      <c r="E6149" s="2716" t="s">
        <v>2749</v>
      </c>
      <c r="F6149" s="294"/>
      <c r="G6149" s="1564" t="s">
        <v>47</v>
      </c>
      <c r="H6149" s="1565" t="s">
        <v>3276</v>
      </c>
      <c r="I6149" s="1565" t="s">
        <v>3273</v>
      </c>
      <c r="J6149" s="1565" t="s">
        <v>3275</v>
      </c>
      <c r="K6149" s="1566" t="s">
        <v>2508</v>
      </c>
      <c r="L6149" s="291"/>
      <c r="M6149" s="291"/>
      <c r="N6149" s="291"/>
      <c r="O6149" s="291"/>
      <c r="S6149" s="364"/>
      <c r="Z6149" s="609" t="s">
        <v>2047</v>
      </c>
      <c r="AA6149" s="609"/>
    </row>
    <row r="6150" spans="1:27" ht="18">
      <c r="A6150" s="2714"/>
      <c r="B6150" s="371">
        <v>101</v>
      </c>
      <c r="C6150" s="371"/>
      <c r="D6150" s="2716">
        <f>IF(OR(G6150="*",G6150="",G6150=0),0,COUNTIF($G$6150:$G$6153,G6150))</f>
        <v>1</v>
      </c>
      <c r="E6150" s="2721">
        <v>1</v>
      </c>
      <c r="F6150" s="294"/>
      <c r="G6150" s="308" t="s">
        <v>422</v>
      </c>
      <c r="H6150" s="309"/>
      <c r="I6150" s="309"/>
      <c r="J6150" s="1476">
        <f>I6150-H6150</f>
        <v>0</v>
      </c>
      <c r="K6150" s="388"/>
      <c r="L6150" s="291"/>
      <c r="M6150" s="291"/>
      <c r="N6150" s="291"/>
      <c r="O6150" s="291"/>
      <c r="S6150" s="364"/>
      <c r="Z6150" s="609" t="s">
        <v>2047</v>
      </c>
      <c r="AA6150" s="609"/>
    </row>
    <row r="6151" spans="1:27" ht="18">
      <c r="A6151" s="2714"/>
      <c r="B6151" s="371">
        <v>102</v>
      </c>
      <c r="C6151" s="371" t="s">
        <v>2791</v>
      </c>
      <c r="D6151" s="2716">
        <f>IF(OR(G6151="*",G6151="",G6151=0),0,COUNTIF($G$6150:$G$6153,G6151))</f>
        <v>0</v>
      </c>
      <c r="E6151" s="2721">
        <v>1</v>
      </c>
      <c r="F6151" s="294"/>
      <c r="G6151" s="1563" t="s">
        <v>2792</v>
      </c>
      <c r="H6151" s="309"/>
      <c r="I6151" s="309"/>
      <c r="J6151" s="309"/>
      <c r="K6151" s="388"/>
      <c r="L6151" s="291"/>
      <c r="M6151" s="291"/>
      <c r="N6151" s="291"/>
      <c r="O6151" s="291"/>
      <c r="S6151" s="364"/>
      <c r="Z6151" s="609" t="s">
        <v>2047</v>
      </c>
      <c r="AA6151" s="609"/>
    </row>
    <row r="6152" spans="1:27" ht="18">
      <c r="A6152" s="2714"/>
      <c r="B6152" s="371">
        <v>103</v>
      </c>
      <c r="C6152" s="371" t="s">
        <v>2791</v>
      </c>
      <c r="D6152" s="2716">
        <f>IF(OR(G6152="*",G6152="",G6152=0),0,COUNTIF($G$6150:$G$6153,G6152))</f>
        <v>0</v>
      </c>
      <c r="E6152" s="2721">
        <v>1</v>
      </c>
      <c r="F6152" s="294"/>
      <c r="G6152" s="1563" t="s">
        <v>2792</v>
      </c>
      <c r="H6152" s="309"/>
      <c r="I6152" s="309"/>
      <c r="J6152" s="309"/>
      <c r="K6152" s="388"/>
      <c r="L6152" s="291"/>
      <c r="M6152" s="291"/>
      <c r="N6152" s="291"/>
      <c r="O6152" s="291"/>
      <c r="S6152" s="364"/>
      <c r="Z6152" s="609" t="s">
        <v>2047</v>
      </c>
      <c r="AA6152" s="609"/>
    </row>
    <row r="6153" spans="1:27" ht="18.75" thickBot="1">
      <c r="A6153" s="2714"/>
      <c r="B6153" s="371"/>
      <c r="C6153" s="371"/>
      <c r="D6153" s="2716">
        <f>IF(OR(G6153="*",G6153="",G6153=0),0,COUNTIF($G$6150:$G$6153,G6153))</f>
        <v>1</v>
      </c>
      <c r="E6153" s="2721" t="s">
        <v>2751</v>
      </c>
      <c r="F6153" s="294"/>
      <c r="G6153" s="1529" t="s">
        <v>2752</v>
      </c>
      <c r="H6153" s="1527">
        <f>SUMPRODUCT($E6149:$E6152,H6149:H6152)</f>
        <v>0</v>
      </c>
      <c r="I6153" s="1527">
        <f>SUMPRODUCT($E6149:$E6152,I6149:I6152)</f>
        <v>0</v>
      </c>
      <c r="J6153" s="1527">
        <f>SUMPRODUCT($E6149:$E6152,J6149:J6152)</f>
        <v>0</v>
      </c>
      <c r="K6153" s="1571"/>
      <c r="L6153" s="291"/>
      <c r="M6153" s="291"/>
      <c r="N6153" s="291"/>
      <c r="O6153" s="291"/>
      <c r="S6153" s="364"/>
      <c r="Z6153" s="609" t="s">
        <v>2047</v>
      </c>
      <c r="AA6153" s="609"/>
    </row>
    <row r="6154" spans="1:27" ht="18">
      <c r="A6154" s="2714"/>
      <c r="B6154" s="371"/>
      <c r="C6154" s="371" t="s">
        <v>2755</v>
      </c>
      <c r="D6154" s="371"/>
      <c r="F6154" s="294"/>
      <c r="G6154" s="301"/>
      <c r="H6154" s="315"/>
      <c r="I6154" s="315"/>
      <c r="J6154" s="315"/>
      <c r="K6154" s="393"/>
      <c r="L6154" s="291"/>
      <c r="M6154" s="291"/>
      <c r="N6154" s="291"/>
      <c r="O6154" s="291"/>
      <c r="S6154" s="364"/>
      <c r="Z6154" s="609" t="s">
        <v>2047</v>
      </c>
      <c r="AA6154" s="609"/>
    </row>
    <row r="6155" spans="1:27" ht="18">
      <c r="A6155" s="2714">
        <v>7516</v>
      </c>
      <c r="B6155" s="371">
        <v>79.11</v>
      </c>
      <c r="C6155" s="2716" t="str">
        <f>VLOOKUP($A6155,Sheet_Items,2,0)</f>
        <v>递延所得税负债增加</v>
      </c>
      <c r="D6155" s="371"/>
      <c r="E6155" s="2716" t="s">
        <v>2739</v>
      </c>
      <c r="F6155" s="294"/>
      <c r="G6155" s="536" t="str">
        <f>B6155&amp;" "&amp;C6155</f>
        <v>79.11 递延所得税负债增加</v>
      </c>
      <c r="H6155" s="322"/>
      <c r="I6155" s="322"/>
      <c r="J6155" s="306" t="s">
        <v>4206</v>
      </c>
      <c r="K6155" s="341">
        <f>VLOOKUP($A6155,Sheet_Trialbal,6,0)</f>
        <v>0</v>
      </c>
      <c r="L6155" s="342"/>
      <c r="M6155" s="306"/>
      <c r="N6155" s="341"/>
      <c r="O6155" s="306"/>
      <c r="P6155" s="301"/>
      <c r="S6155" s="364"/>
      <c r="Z6155" s="609" t="s">
        <v>2050</v>
      </c>
      <c r="AA6155" s="609"/>
    </row>
    <row r="6156" spans="1:27" ht="36">
      <c r="A6156" s="2714" t="s">
        <v>2048</v>
      </c>
      <c r="B6156" s="371">
        <v>1</v>
      </c>
      <c r="C6156" s="371"/>
      <c r="D6156" s="2716" t="str">
        <f>VLOOKUP($A6156,Sheet_NoteList,2,0)</f>
        <v>将净利润调节为经营活动现金流量：递延所得税负债增加</v>
      </c>
      <c r="E6156" s="2716" t="s">
        <v>2742</v>
      </c>
      <c r="F6156" s="294"/>
      <c r="G6156" s="372" t="str">
        <f>"("&amp;B6156&amp;")"&amp;D6156</f>
        <v>(1)将净利润调节为经营活动现金流量：递延所得税负债增加</v>
      </c>
      <c r="H6156" s="1517" t="str">
        <f>$A6156</f>
        <v>7516a</v>
      </c>
      <c r="I6156" s="343" t="s">
        <v>2743</v>
      </c>
      <c r="J6156" s="301" t="s">
        <v>4712</v>
      </c>
      <c r="K6156" s="2210">
        <f>J6162</f>
        <v>0</v>
      </c>
      <c r="L6156" s="345" t="str">
        <f>IF(ROUND(K6155-K6156,2)=0,"F/S",ROUND(K6155-K6156,2))</f>
        <v>F/S</v>
      </c>
      <c r="M6156" s="532" t="s">
        <v>4713</v>
      </c>
      <c r="N6156" s="3081"/>
      <c r="O6156" s="315"/>
      <c r="P6156" s="301"/>
      <c r="S6156" s="364"/>
      <c r="Z6156" s="609" t="s">
        <v>2050</v>
      </c>
      <c r="AA6156" s="609"/>
    </row>
    <row r="6157" spans="1:27" ht="0.75" customHeight="1" thickBot="1">
      <c r="A6157" s="2714"/>
      <c r="B6157" s="371"/>
      <c r="C6157" s="371"/>
      <c r="D6157" s="371"/>
      <c r="F6157" s="294"/>
      <c r="G6157" s="294" t="s">
        <v>4817</v>
      </c>
      <c r="H6157" s="294" t="s">
        <v>2747</v>
      </c>
      <c r="I6157" s="294" t="s">
        <v>2748</v>
      </c>
      <c r="J6157" s="294" t="s">
        <v>3250</v>
      </c>
      <c r="K6157" s="294" t="s">
        <v>2898</v>
      </c>
      <c r="L6157" s="291"/>
      <c r="M6157" s="291"/>
      <c r="N6157" s="291"/>
      <c r="O6157" s="291"/>
      <c r="S6157" s="364"/>
      <c r="Z6157" s="609" t="s">
        <v>2050</v>
      </c>
      <c r="AA6157" s="609"/>
    </row>
    <row r="6158" spans="1:27" ht="18">
      <c r="A6158" s="2714"/>
      <c r="B6158" s="371"/>
      <c r="C6158" s="371"/>
      <c r="D6158" s="371"/>
      <c r="E6158" s="2716" t="s">
        <v>2749</v>
      </c>
      <c r="F6158" s="294"/>
      <c r="G6158" s="1564" t="s">
        <v>47</v>
      </c>
      <c r="H6158" s="1565" t="s">
        <v>3276</v>
      </c>
      <c r="I6158" s="1565" t="s">
        <v>3273</v>
      </c>
      <c r="J6158" s="1565" t="s">
        <v>3274</v>
      </c>
      <c r="K6158" s="1566" t="s">
        <v>2508</v>
      </c>
      <c r="L6158" s="291"/>
      <c r="M6158" s="291"/>
      <c r="N6158" s="291"/>
      <c r="O6158" s="291"/>
      <c r="S6158" s="364"/>
      <c r="Z6158" s="609" t="s">
        <v>2050</v>
      </c>
      <c r="AA6158" s="609"/>
    </row>
    <row r="6159" spans="1:27" ht="18">
      <c r="A6159" s="2714"/>
      <c r="B6159" s="371">
        <v>101</v>
      </c>
      <c r="C6159" s="371"/>
      <c r="D6159" s="2716">
        <f>IF(OR(G6159="*",G6159="",G6159=0),0,COUNTIF($G$6159:$G$6162,G6159))</f>
        <v>1</v>
      </c>
      <c r="E6159" s="2721">
        <v>1</v>
      </c>
      <c r="F6159" s="294"/>
      <c r="G6159" s="308" t="s">
        <v>576</v>
      </c>
      <c r="H6159" s="309"/>
      <c r="I6159" s="309"/>
      <c r="J6159" s="1476">
        <f>H6159-I6159</f>
        <v>0</v>
      </c>
      <c r="K6159" s="388"/>
      <c r="L6159" s="291"/>
      <c r="M6159" s="291"/>
      <c r="N6159" s="291"/>
      <c r="O6159" s="291"/>
      <c r="S6159" s="364"/>
      <c r="Z6159" s="609" t="s">
        <v>2050</v>
      </c>
      <c r="AA6159" s="609"/>
    </row>
    <row r="6160" spans="1:27" ht="18">
      <c r="A6160" s="2714"/>
      <c r="B6160" s="371">
        <v>102</v>
      </c>
      <c r="C6160" s="371" t="s">
        <v>2791</v>
      </c>
      <c r="D6160" s="2716">
        <f>IF(OR(G6160="*",G6160="",G6160=0),0,COUNTIF($G$6159:$G$6162,G6160))</f>
        <v>0</v>
      </c>
      <c r="E6160" s="2721">
        <v>1</v>
      </c>
      <c r="F6160" s="294"/>
      <c r="G6160" s="1563" t="s">
        <v>2792</v>
      </c>
      <c r="H6160" s="309"/>
      <c r="I6160" s="309"/>
      <c r="J6160" s="309"/>
      <c r="K6160" s="388"/>
      <c r="L6160" s="291"/>
      <c r="M6160" s="291"/>
      <c r="N6160" s="291"/>
      <c r="O6160" s="291"/>
      <c r="S6160" s="364"/>
      <c r="Z6160" s="609" t="s">
        <v>2050</v>
      </c>
      <c r="AA6160" s="609"/>
    </row>
    <row r="6161" spans="1:27" ht="18">
      <c r="A6161" s="2714"/>
      <c r="B6161" s="371">
        <v>103</v>
      </c>
      <c r="C6161" s="371" t="s">
        <v>2791</v>
      </c>
      <c r="D6161" s="2716">
        <f>IF(OR(G6161="*",G6161="",G6161=0),0,COUNTIF($G$6159:$G$6162,G6161))</f>
        <v>0</v>
      </c>
      <c r="E6161" s="2721">
        <v>1</v>
      </c>
      <c r="F6161" s="294"/>
      <c r="G6161" s="1563" t="s">
        <v>2792</v>
      </c>
      <c r="H6161" s="309"/>
      <c r="I6161" s="309"/>
      <c r="J6161" s="309"/>
      <c r="K6161" s="388"/>
      <c r="L6161" s="291"/>
      <c r="M6161" s="291"/>
      <c r="N6161" s="291"/>
      <c r="O6161" s="291"/>
      <c r="S6161" s="364"/>
      <c r="Z6161" s="609" t="s">
        <v>2050</v>
      </c>
      <c r="AA6161" s="609"/>
    </row>
    <row r="6162" spans="1:27" ht="18.75" thickBot="1">
      <c r="A6162" s="2714"/>
      <c r="B6162" s="371"/>
      <c r="C6162" s="371"/>
      <c r="D6162" s="2716">
        <f>IF(OR(G6162="*",G6162="",G6162=0),0,COUNTIF($G$6159:$G$6162,G6162))</f>
        <v>1</v>
      </c>
      <c r="E6162" s="2721" t="s">
        <v>2751</v>
      </c>
      <c r="F6162" s="294"/>
      <c r="G6162" s="1529" t="s">
        <v>2752</v>
      </c>
      <c r="H6162" s="1527">
        <f>SUMPRODUCT($E6158:$E6161,H6158:H6161)</f>
        <v>0</v>
      </c>
      <c r="I6162" s="1527">
        <f>SUMPRODUCT($E6158:$E6161,I6158:I6161)</f>
        <v>0</v>
      </c>
      <c r="J6162" s="1527">
        <f>SUMPRODUCT($E6158:$E6161,J6158:J6161)</f>
        <v>0</v>
      </c>
      <c r="K6162" s="1571"/>
      <c r="L6162" s="291"/>
      <c r="M6162" s="291"/>
      <c r="N6162" s="291"/>
      <c r="O6162" s="291"/>
      <c r="S6162" s="364"/>
      <c r="Z6162" s="609" t="s">
        <v>2050</v>
      </c>
      <c r="AA6162" s="609"/>
    </row>
    <row r="6163" spans="1:27" ht="18">
      <c r="A6163" s="2714"/>
      <c r="B6163" s="371"/>
      <c r="C6163" s="371" t="s">
        <v>2755</v>
      </c>
      <c r="D6163" s="371"/>
      <c r="F6163" s="294"/>
      <c r="G6163" s="301"/>
      <c r="H6163" s="315"/>
      <c r="I6163" s="315"/>
      <c r="J6163" s="315"/>
      <c r="K6163" s="393"/>
      <c r="L6163" s="291"/>
      <c r="M6163" s="291"/>
      <c r="N6163" s="291"/>
      <c r="O6163" s="291"/>
      <c r="S6163" s="364"/>
      <c r="Z6163" s="609" t="s">
        <v>2050</v>
      </c>
      <c r="AA6163" s="609"/>
    </row>
    <row r="6164" spans="1:27" ht="18">
      <c r="A6164" s="2714">
        <v>7517</v>
      </c>
      <c r="B6164" s="371">
        <v>79.12</v>
      </c>
      <c r="C6164" s="2716" t="str">
        <f>VLOOKUP($A6164,Sheet_Items,2,0)</f>
        <v>存货的减少</v>
      </c>
      <c r="D6164" s="371"/>
      <c r="E6164" s="2716" t="s">
        <v>2739</v>
      </c>
      <c r="F6164" s="294"/>
      <c r="G6164" s="536" t="str">
        <f>B6164&amp;" "&amp;C6164</f>
        <v>79.12 存货的减少</v>
      </c>
      <c r="H6164" s="322"/>
      <c r="I6164" s="322"/>
      <c r="J6164" s="306" t="s">
        <v>4206</v>
      </c>
      <c r="K6164" s="341">
        <f>VLOOKUP($A6164,Sheet_Trialbal,6,0)</f>
        <v>0</v>
      </c>
      <c r="L6164" s="342"/>
      <c r="M6164" s="306"/>
      <c r="N6164" s="341"/>
      <c r="O6164" s="306"/>
      <c r="P6164" s="301"/>
      <c r="S6164" s="364"/>
      <c r="Z6164" s="609" t="s">
        <v>2053</v>
      </c>
      <c r="AA6164" s="609"/>
    </row>
    <row r="6165" spans="1:27" ht="24">
      <c r="A6165" s="2714" t="s">
        <v>2051</v>
      </c>
      <c r="B6165" s="371">
        <v>1</v>
      </c>
      <c r="C6165" s="371"/>
      <c r="D6165" s="2716" t="str">
        <f>VLOOKUP($A6165,Sheet_NoteList,2,0)</f>
        <v>将净利润调节为经营活动现金流量：存货的减少</v>
      </c>
      <c r="E6165" s="2716" t="s">
        <v>2742</v>
      </c>
      <c r="F6165" s="294"/>
      <c r="G6165" s="372" t="str">
        <f>"("&amp;B6165&amp;")"&amp;D6165</f>
        <v>(1)将净利润调节为经营活动现金流量：存货的减少</v>
      </c>
      <c r="H6165" s="1517" t="str">
        <f>$A6165</f>
        <v>7517a</v>
      </c>
      <c r="I6165" s="343" t="s">
        <v>2743</v>
      </c>
      <c r="J6165" s="301" t="s">
        <v>4712</v>
      </c>
      <c r="K6165" s="2210">
        <f>H6184</f>
        <v>0</v>
      </c>
      <c r="L6165" s="345" t="str">
        <f>IF(ROUND(K6164-K6165,2)=0,"F/S",ROUND(K6164-K6165,2))</f>
        <v>F/S</v>
      </c>
      <c r="M6165" s="532" t="s">
        <v>4713</v>
      </c>
      <c r="N6165" s="3081"/>
      <c r="O6165" s="315"/>
      <c r="P6165" s="301"/>
      <c r="S6165" s="364"/>
      <c r="Z6165" s="609" t="s">
        <v>2053</v>
      </c>
      <c r="AA6165" s="609"/>
    </row>
    <row r="6166" spans="1:27" ht="0.75" customHeight="1" thickBot="1">
      <c r="A6166" s="2714"/>
      <c r="B6166" s="371"/>
      <c r="C6166" s="371"/>
      <c r="D6166" s="371"/>
      <c r="E6166" s="586"/>
      <c r="F6166" s="586"/>
      <c r="G6166" s="586" t="s">
        <v>4818</v>
      </c>
      <c r="H6166" s="371" t="s">
        <v>6314</v>
      </c>
      <c r="I6166" s="371" t="s">
        <v>6315</v>
      </c>
      <c r="J6166" s="371" t="s">
        <v>6316</v>
      </c>
      <c r="K6166" s="371" t="s">
        <v>6317</v>
      </c>
      <c r="L6166" s="291"/>
      <c r="M6166" s="291"/>
      <c r="N6166" s="291"/>
      <c r="O6166" s="291"/>
      <c r="S6166" s="364"/>
      <c r="Z6166" s="609" t="s">
        <v>2053</v>
      </c>
      <c r="AA6166" s="609"/>
    </row>
    <row r="6167" spans="1:27" ht="18">
      <c r="A6167" s="2714"/>
      <c r="B6167" s="371"/>
      <c r="C6167" s="371"/>
      <c r="D6167" s="371"/>
      <c r="E6167" s="586" t="s">
        <v>2749</v>
      </c>
      <c r="F6167" s="363"/>
      <c r="G6167" s="2531" t="s">
        <v>47</v>
      </c>
      <c r="H6167" s="2528" t="s">
        <v>3275</v>
      </c>
      <c r="I6167" s="2528" t="s">
        <v>6113</v>
      </c>
      <c r="J6167" s="2528" t="s">
        <v>6042</v>
      </c>
      <c r="K6167" s="2527" t="s">
        <v>6114</v>
      </c>
      <c r="L6167" s="291"/>
      <c r="M6167" s="291"/>
      <c r="N6167" s="291"/>
      <c r="O6167" s="291"/>
      <c r="S6167" s="364"/>
      <c r="Z6167" s="609" t="s">
        <v>2053</v>
      </c>
      <c r="AA6167" s="609"/>
    </row>
    <row r="6168" spans="1:27" ht="18">
      <c r="A6168" s="2714"/>
      <c r="B6168" s="371">
        <v>101</v>
      </c>
      <c r="C6168" s="371"/>
      <c r="D6168" s="2716">
        <f t="shared" ref="D6168:D6184" si="643">IF(OR(G6168="*",G6168="",G6168=0),0,COUNTIF($G$6168:$G$6184,G6168))</f>
        <v>1</v>
      </c>
      <c r="E6168" s="2721">
        <v>0</v>
      </c>
      <c r="F6168" s="294"/>
      <c r="G6168" s="1474" t="s">
        <v>4819</v>
      </c>
      <c r="H6168" s="2275"/>
      <c r="I6168" s="2298"/>
      <c r="J6168" s="2298"/>
      <c r="K6168" s="2276"/>
      <c r="L6168" s="291"/>
      <c r="M6168" s="291"/>
      <c r="N6168" s="291"/>
      <c r="O6168" s="291"/>
      <c r="S6168" s="364"/>
      <c r="Z6168" s="609" t="s">
        <v>2053</v>
      </c>
      <c r="AA6168" s="609"/>
    </row>
    <row r="6169" spans="1:27" ht="18">
      <c r="A6169" s="2714"/>
      <c r="B6169" s="371">
        <v>102</v>
      </c>
      <c r="C6169" s="371"/>
      <c r="D6169" s="2716">
        <f t="shared" si="643"/>
        <v>1</v>
      </c>
      <c r="E6169" s="2721">
        <v>0</v>
      </c>
      <c r="F6169" s="294"/>
      <c r="G6169" s="1474" t="s">
        <v>4820</v>
      </c>
      <c r="H6169" s="2275"/>
      <c r="I6169" s="2298"/>
      <c r="J6169" s="2298"/>
      <c r="K6169" s="2276"/>
      <c r="L6169" s="291"/>
      <c r="M6169" s="291"/>
      <c r="N6169" s="291"/>
      <c r="O6169" s="291"/>
      <c r="S6169" s="364"/>
      <c r="Z6169" s="609" t="s">
        <v>2053</v>
      </c>
      <c r="AA6169" s="609"/>
    </row>
    <row r="6170" spans="1:27" ht="18">
      <c r="A6170" s="2714"/>
      <c r="B6170" s="371">
        <v>103</v>
      </c>
      <c r="C6170" s="371"/>
      <c r="D6170" s="2716">
        <f t="shared" si="643"/>
        <v>1</v>
      </c>
      <c r="E6170" s="2721">
        <v>1</v>
      </c>
      <c r="F6170" s="294"/>
      <c r="G6170" s="1474" t="s">
        <v>4821</v>
      </c>
      <c r="H6170" s="1476">
        <f>H6168-H6169</f>
        <v>0</v>
      </c>
      <c r="I6170" s="2298"/>
      <c r="J6170" s="2298"/>
      <c r="K6170" s="2276"/>
      <c r="L6170" s="291"/>
      <c r="M6170" s="291"/>
      <c r="N6170" s="291"/>
      <c r="O6170" s="291"/>
      <c r="S6170" s="364"/>
      <c r="Z6170" s="609" t="s">
        <v>2053</v>
      </c>
      <c r="AA6170" s="609"/>
    </row>
    <row r="6171" spans="1:27" ht="18">
      <c r="A6171" s="2714"/>
      <c r="B6171" s="371">
        <v>104</v>
      </c>
      <c r="C6171" s="371" t="s">
        <v>2791</v>
      </c>
      <c r="D6171" s="2716">
        <f t="shared" si="643"/>
        <v>0</v>
      </c>
      <c r="E6171" s="2721">
        <v>1</v>
      </c>
      <c r="F6171" s="294"/>
      <c r="G6171" s="2530" t="s">
        <v>2792</v>
      </c>
      <c r="H6171" s="2275"/>
      <c r="I6171" s="2298"/>
      <c r="J6171" s="2298"/>
      <c r="K6171" s="2276"/>
      <c r="L6171" s="291"/>
      <c r="M6171" s="291"/>
      <c r="N6171" s="291"/>
      <c r="O6171" s="291"/>
      <c r="S6171" s="364"/>
      <c r="Z6171" s="609" t="s">
        <v>2053</v>
      </c>
      <c r="AA6171" s="609"/>
    </row>
    <row r="6172" spans="1:27" ht="18">
      <c r="A6172" s="2714"/>
      <c r="B6172" s="371">
        <v>105</v>
      </c>
      <c r="C6172" s="371"/>
      <c r="D6172" s="2716">
        <f t="shared" si="643"/>
        <v>1</v>
      </c>
      <c r="E6172" s="2721" t="s">
        <v>41</v>
      </c>
      <c r="F6172" s="294"/>
      <c r="G6172" s="1474" t="s">
        <v>4822</v>
      </c>
      <c r="H6172" s="2275"/>
      <c r="I6172" s="2298"/>
      <c r="J6172" s="2298"/>
      <c r="K6172" s="2276"/>
      <c r="L6172" s="532"/>
      <c r="M6172" s="291"/>
      <c r="N6172" s="291"/>
      <c r="O6172" s="291"/>
      <c r="S6172" s="364"/>
      <c r="Z6172" s="609" t="s">
        <v>2053</v>
      </c>
      <c r="AA6172" s="609"/>
    </row>
    <row r="6173" spans="1:27" ht="18">
      <c r="A6173" s="2714"/>
      <c r="B6173" s="371">
        <v>105.001</v>
      </c>
      <c r="C6173" s="371"/>
      <c r="D6173" s="2716">
        <f t="shared" si="643"/>
        <v>1</v>
      </c>
      <c r="E6173" s="2721" t="s">
        <v>4823</v>
      </c>
      <c r="F6173" s="294"/>
      <c r="G6173" s="1474" t="s">
        <v>4824</v>
      </c>
      <c r="H6173" s="2275"/>
      <c r="I6173" s="2298"/>
      <c r="J6173" s="2298"/>
      <c r="K6173" s="2276"/>
      <c r="L6173" s="291"/>
      <c r="M6173" s="291"/>
      <c r="N6173" s="291"/>
      <c r="O6173" s="291"/>
      <c r="S6173" s="364"/>
      <c r="Z6173" s="609" t="s">
        <v>2053</v>
      </c>
      <c r="AA6173" s="609"/>
    </row>
    <row r="6174" spans="1:27" ht="18">
      <c r="A6174" s="2714"/>
      <c r="B6174" s="371">
        <v>105.002</v>
      </c>
      <c r="C6174" s="371"/>
      <c r="D6174" s="2716">
        <f t="shared" si="643"/>
        <v>1</v>
      </c>
      <c r="E6174" s="2721" t="s">
        <v>4825</v>
      </c>
      <c r="F6174" s="294"/>
      <c r="G6174" s="1474" t="s">
        <v>4826</v>
      </c>
      <c r="H6174" s="2275"/>
      <c r="I6174" s="2298"/>
      <c r="J6174" s="2298"/>
      <c r="K6174" s="2276"/>
      <c r="L6174" s="291"/>
      <c r="M6174" s="291"/>
      <c r="N6174" s="291"/>
      <c r="O6174" s="291"/>
      <c r="S6174" s="364"/>
      <c r="Z6174" s="609" t="s">
        <v>2053</v>
      </c>
      <c r="AA6174" s="609"/>
    </row>
    <row r="6175" spans="1:27" ht="18">
      <c r="A6175" s="2714"/>
      <c r="B6175" s="371">
        <v>105.003</v>
      </c>
      <c r="C6175" s="371"/>
      <c r="D6175" s="2716">
        <f t="shared" si="643"/>
        <v>1</v>
      </c>
      <c r="E6175" s="2721" t="s">
        <v>4825</v>
      </c>
      <c r="F6175" s="294"/>
      <c r="G6175" s="1474" t="s">
        <v>4827</v>
      </c>
      <c r="H6175" s="2275"/>
      <c r="I6175" s="2298"/>
      <c r="J6175" s="2298"/>
      <c r="K6175" s="2276"/>
      <c r="L6175" s="291"/>
      <c r="M6175" s="291"/>
      <c r="N6175" s="291"/>
      <c r="O6175" s="291"/>
      <c r="S6175" s="364"/>
      <c r="Z6175" s="609" t="s">
        <v>2053</v>
      </c>
      <c r="AA6175" s="609"/>
    </row>
    <row r="6176" spans="1:27" ht="18">
      <c r="A6176" s="2714"/>
      <c r="B6176" s="371">
        <v>105.004</v>
      </c>
      <c r="C6176" s="371"/>
      <c r="D6176" s="2716">
        <f t="shared" si="643"/>
        <v>1</v>
      </c>
      <c r="E6176" s="2721" t="s">
        <v>4825</v>
      </c>
      <c r="F6176" s="294"/>
      <c r="G6176" s="1474" t="s">
        <v>4828</v>
      </c>
      <c r="H6176" s="2275"/>
      <c r="I6176" s="2298"/>
      <c r="J6176" s="2298"/>
      <c r="K6176" s="2276"/>
      <c r="L6176" s="291"/>
      <c r="M6176" s="291"/>
      <c r="N6176" s="291"/>
      <c r="O6176" s="291"/>
      <c r="S6176" s="364"/>
      <c r="Z6176" s="609" t="s">
        <v>2053</v>
      </c>
      <c r="AA6176" s="609"/>
    </row>
    <row r="6177" spans="1:27" ht="18">
      <c r="A6177" s="2714"/>
      <c r="B6177" s="371">
        <v>105.005</v>
      </c>
      <c r="C6177" s="371" t="s">
        <v>2791</v>
      </c>
      <c r="D6177" s="2716">
        <f t="shared" si="643"/>
        <v>0</v>
      </c>
      <c r="E6177" s="2721" t="s">
        <v>4825</v>
      </c>
      <c r="F6177" s="294"/>
      <c r="G6177" s="2530" t="s">
        <v>2792</v>
      </c>
      <c r="H6177" s="2275"/>
      <c r="I6177" s="2298"/>
      <c r="J6177" s="2298"/>
      <c r="K6177" s="2276"/>
      <c r="L6177" s="291"/>
      <c r="M6177" s="291"/>
      <c r="N6177" s="291"/>
      <c r="O6177" s="291"/>
      <c r="S6177" s="364"/>
      <c r="Z6177" s="609" t="s">
        <v>2053</v>
      </c>
      <c r="AA6177" s="609"/>
    </row>
    <row r="6178" spans="1:27" ht="18">
      <c r="A6178" s="2714"/>
      <c r="B6178" s="371">
        <v>105.006</v>
      </c>
      <c r="C6178" s="371"/>
      <c r="D6178" s="2716">
        <f t="shared" si="643"/>
        <v>1</v>
      </c>
      <c r="E6178" s="2721" t="s">
        <v>4823</v>
      </c>
      <c r="F6178" s="294"/>
      <c r="G6178" s="1474" t="s">
        <v>4829</v>
      </c>
      <c r="H6178" s="2275"/>
      <c r="I6178" s="2298"/>
      <c r="J6178" s="2298"/>
      <c r="K6178" s="2276"/>
      <c r="L6178" s="291"/>
      <c r="M6178" s="291"/>
      <c r="N6178" s="291"/>
      <c r="O6178" s="291"/>
      <c r="S6178" s="364"/>
      <c r="Z6178" s="609" t="s">
        <v>2053</v>
      </c>
      <c r="AA6178" s="609"/>
    </row>
    <row r="6179" spans="1:27" ht="18">
      <c r="A6179" s="2714"/>
      <c r="B6179" s="371">
        <v>105.00700000000001</v>
      </c>
      <c r="C6179" s="371"/>
      <c r="D6179" s="2716">
        <f t="shared" si="643"/>
        <v>1</v>
      </c>
      <c r="E6179" s="2721" t="s">
        <v>4825</v>
      </c>
      <c r="F6179" s="294"/>
      <c r="G6179" s="1474" t="s">
        <v>4830</v>
      </c>
      <c r="H6179" s="2275"/>
      <c r="I6179" s="2298"/>
      <c r="J6179" s="2298" t="s">
        <v>4831</v>
      </c>
      <c r="K6179" s="2276"/>
      <c r="L6179" s="291"/>
      <c r="M6179" s="291"/>
      <c r="N6179" s="291"/>
      <c r="O6179" s="291"/>
      <c r="S6179" s="364"/>
      <c r="Z6179" s="609" t="s">
        <v>2053</v>
      </c>
      <c r="AA6179" s="609"/>
    </row>
    <row r="6180" spans="1:27" ht="18">
      <c r="A6180" s="2714"/>
      <c r="B6180" s="371">
        <v>105.008</v>
      </c>
      <c r="C6180" s="371"/>
      <c r="D6180" s="2716">
        <f t="shared" si="643"/>
        <v>1</v>
      </c>
      <c r="E6180" s="2721" t="s">
        <v>4825</v>
      </c>
      <c r="F6180" s="294"/>
      <c r="G6180" s="1474" t="s">
        <v>4832</v>
      </c>
      <c r="H6180" s="2275"/>
      <c r="I6180" s="2298"/>
      <c r="J6180" s="2298" t="s">
        <v>4831</v>
      </c>
      <c r="K6180" s="2276"/>
      <c r="L6180" s="291"/>
      <c r="M6180" s="291"/>
      <c r="N6180" s="291"/>
      <c r="O6180" s="291"/>
      <c r="S6180" s="364"/>
      <c r="Z6180" s="609" t="s">
        <v>2053</v>
      </c>
      <c r="AA6180" s="609"/>
    </row>
    <row r="6181" spans="1:27" ht="18">
      <c r="A6181" s="2714"/>
      <c r="B6181" s="371">
        <v>105.009</v>
      </c>
      <c r="C6181" s="371" t="s">
        <v>2791</v>
      </c>
      <c r="D6181" s="2716">
        <f t="shared" si="643"/>
        <v>0</v>
      </c>
      <c r="E6181" s="2721" t="s">
        <v>4825</v>
      </c>
      <c r="F6181" s="294"/>
      <c r="G6181" s="2530" t="s">
        <v>2792</v>
      </c>
      <c r="H6181" s="2275"/>
      <c r="I6181" s="2298"/>
      <c r="J6181" s="2298"/>
      <c r="K6181" s="2276"/>
      <c r="L6181" s="291"/>
      <c r="M6181" s="291"/>
      <c r="N6181" s="291"/>
      <c r="O6181" s="291"/>
      <c r="S6181" s="364"/>
      <c r="Z6181" s="609" t="s">
        <v>2053</v>
      </c>
      <c r="AA6181" s="609"/>
    </row>
    <row r="6182" spans="1:27" ht="18">
      <c r="A6182" s="2714"/>
      <c r="B6182" s="371">
        <v>105.999</v>
      </c>
      <c r="C6182" s="371"/>
      <c r="D6182" s="2716">
        <f t="shared" si="643"/>
        <v>1</v>
      </c>
      <c r="E6182" s="2721">
        <v>-1</v>
      </c>
      <c r="F6182" s="294"/>
      <c r="G6182" s="1474" t="s">
        <v>4825</v>
      </c>
      <c r="H6182" s="1476">
        <f>SUMIF($E$6167:$E$6183,$G6182,H$6167:H$6183)</f>
        <v>0</v>
      </c>
      <c r="I6182" s="2298"/>
      <c r="J6182" s="2298"/>
      <c r="K6182" s="2276"/>
      <c r="L6182" s="291"/>
      <c r="M6182" s="291"/>
      <c r="N6182" s="291"/>
      <c r="O6182" s="291"/>
      <c r="S6182" s="364"/>
      <c r="Z6182" s="609" t="s">
        <v>2053</v>
      </c>
      <c r="AA6182" s="609"/>
    </row>
    <row r="6183" spans="1:27" ht="18">
      <c r="A6183" s="2714"/>
      <c r="B6183" s="371">
        <v>106</v>
      </c>
      <c r="C6183" s="371" t="s">
        <v>2791</v>
      </c>
      <c r="D6183" s="2716">
        <f t="shared" si="643"/>
        <v>0</v>
      </c>
      <c r="E6183" s="2721">
        <v>-1</v>
      </c>
      <c r="F6183" s="294"/>
      <c r="G6183" s="2530" t="s">
        <v>2792</v>
      </c>
      <c r="H6183" s="2275"/>
      <c r="I6183" s="2298"/>
      <c r="J6183" s="2298"/>
      <c r="K6183" s="2276"/>
      <c r="L6183" s="291"/>
      <c r="M6183" s="291"/>
      <c r="N6183" s="291"/>
      <c r="O6183" s="291"/>
      <c r="S6183" s="364"/>
      <c r="Z6183" s="609" t="s">
        <v>2053</v>
      </c>
      <c r="AA6183" s="609"/>
    </row>
    <row r="6184" spans="1:27" ht="18.75" thickBot="1">
      <c r="A6184" s="2714"/>
      <c r="B6184" s="371"/>
      <c r="C6184" s="371"/>
      <c r="D6184" s="2716">
        <f t="shared" si="643"/>
        <v>1</v>
      </c>
      <c r="E6184" s="2721" t="s">
        <v>2751</v>
      </c>
      <c r="F6184" s="294"/>
      <c r="G6184" s="1529" t="s">
        <v>2752</v>
      </c>
      <c r="H6184" s="1527">
        <f>SUMPRODUCT($E6167:$E6183,H6167:H6183)</f>
        <v>0</v>
      </c>
      <c r="I6184" s="2316"/>
      <c r="J6184" s="2316"/>
      <c r="K6184" s="2266"/>
      <c r="L6184" s="291"/>
      <c r="M6184" s="291"/>
      <c r="N6184" s="291"/>
      <c r="O6184" s="291"/>
      <c r="S6184" s="364"/>
      <c r="Z6184" s="609" t="s">
        <v>2053</v>
      </c>
      <c r="AA6184" s="609"/>
    </row>
    <row r="6185" spans="1:27" ht="18">
      <c r="A6185" s="2714"/>
      <c r="B6185" s="371"/>
      <c r="C6185" s="371" t="s">
        <v>2755</v>
      </c>
      <c r="D6185" s="371"/>
      <c r="F6185" s="294"/>
      <c r="G6185" s="301"/>
      <c r="H6185" s="315"/>
      <c r="I6185" s="393"/>
      <c r="J6185" s="393"/>
      <c r="K6185" s="393"/>
      <c r="L6185" s="291"/>
      <c r="M6185" s="291"/>
      <c r="N6185" s="291"/>
      <c r="O6185" s="291"/>
      <c r="S6185" s="364"/>
      <c r="Z6185" s="609" t="s">
        <v>2053</v>
      </c>
      <c r="AA6185" s="609"/>
    </row>
    <row r="6186" spans="1:27" ht="18">
      <c r="A6186" s="2714">
        <v>7518</v>
      </c>
      <c r="B6186" s="371">
        <v>79.13</v>
      </c>
      <c r="C6186" s="2716" t="str">
        <f>VLOOKUP($A6186,Sheet_Items,2,0)</f>
        <v>经营性应收项目的减少</v>
      </c>
      <c r="D6186" s="371"/>
      <c r="E6186" s="2716" t="s">
        <v>2739</v>
      </c>
      <c r="F6186" s="294"/>
      <c r="G6186" s="536" t="str">
        <f>B6186&amp;" "&amp;C6186</f>
        <v>79.13 经营性应收项目的减少</v>
      </c>
      <c r="H6186" s="322"/>
      <c r="I6186" s="322"/>
      <c r="J6186" s="306" t="s">
        <v>4206</v>
      </c>
      <c r="K6186" s="341">
        <f>VLOOKUP($A6186,Sheet_Trialbal,6,0)</f>
        <v>4227653.54</v>
      </c>
      <c r="L6186" s="342"/>
      <c r="M6186" s="306"/>
      <c r="N6186" s="341"/>
      <c r="O6186" s="306"/>
      <c r="P6186" s="301"/>
      <c r="S6186" s="364"/>
      <c r="Z6186" s="609" t="s">
        <v>2057</v>
      </c>
      <c r="AA6186" s="609"/>
    </row>
    <row r="6187" spans="1:27" ht="36">
      <c r="A6187" s="2714" t="s">
        <v>2055</v>
      </c>
      <c r="B6187" s="371">
        <v>1</v>
      </c>
      <c r="C6187" s="371"/>
      <c r="D6187" s="2716" t="str">
        <f>VLOOKUP($A6187,Sheet_NoteList,2,0)</f>
        <v>将净利润调节为经营活动现金流量：经营性应收项目的减少</v>
      </c>
      <c r="E6187" s="2716" t="s">
        <v>2742</v>
      </c>
      <c r="F6187" s="294"/>
      <c r="G6187" s="372" t="str">
        <f>"("&amp;B6187&amp;")"&amp;D6187</f>
        <v>(1)将净利润调节为经营活动现金流量：经营性应收项目的减少</v>
      </c>
      <c r="H6187" s="1517" t="str">
        <f>$A6187</f>
        <v>7518a</v>
      </c>
      <c r="I6187" s="343" t="s">
        <v>2743</v>
      </c>
      <c r="J6187" s="301" t="s">
        <v>4712</v>
      </c>
      <c r="K6187" s="2210">
        <f>J6211</f>
        <v>0</v>
      </c>
      <c r="L6187" s="345">
        <f>IF(ROUND(K6186-K6187,2)=0,"F/S",ROUND(K6186-K6187,2))</f>
        <v>4227653.54</v>
      </c>
      <c r="M6187" s="532" t="s">
        <v>4713</v>
      </c>
      <c r="N6187" s="3081"/>
      <c r="O6187" s="315"/>
      <c r="P6187" s="301"/>
      <c r="S6187" s="364"/>
      <c r="Z6187" s="609" t="s">
        <v>2057</v>
      </c>
      <c r="AA6187" s="609"/>
    </row>
    <row r="6188" spans="1:27" ht="0.75" customHeight="1" thickBot="1">
      <c r="A6188" s="2714"/>
      <c r="B6188" s="371"/>
      <c r="C6188" s="371"/>
      <c r="D6188" s="371"/>
      <c r="F6188" s="294"/>
      <c r="G6188" s="294" t="s">
        <v>4833</v>
      </c>
      <c r="H6188" s="294" t="s">
        <v>2747</v>
      </c>
      <c r="I6188" s="294" t="s">
        <v>2748</v>
      </c>
      <c r="J6188" s="294" t="s">
        <v>3256</v>
      </c>
      <c r="K6188" s="294" t="s">
        <v>2898</v>
      </c>
      <c r="L6188" s="291"/>
      <c r="M6188" s="291"/>
      <c r="N6188" s="291"/>
      <c r="O6188" s="291"/>
      <c r="S6188" s="364"/>
      <c r="Z6188" s="609" t="s">
        <v>2057</v>
      </c>
      <c r="AA6188" s="609"/>
    </row>
    <row r="6189" spans="1:27" ht="18">
      <c r="A6189" s="2714"/>
      <c r="B6189" s="371"/>
      <c r="C6189" s="371"/>
      <c r="D6189" s="371"/>
      <c r="E6189" s="2716" t="s">
        <v>2749</v>
      </c>
      <c r="F6189" s="294"/>
      <c r="G6189" s="1564" t="s">
        <v>47</v>
      </c>
      <c r="H6189" s="1565" t="s">
        <v>3276</v>
      </c>
      <c r="I6189" s="1565" t="s">
        <v>3273</v>
      </c>
      <c r="J6189" s="1565" t="s">
        <v>3275</v>
      </c>
      <c r="K6189" s="1566" t="s">
        <v>2508</v>
      </c>
      <c r="L6189" s="291"/>
      <c r="M6189" s="291"/>
      <c r="N6189" s="291"/>
      <c r="O6189" s="291"/>
      <c r="S6189" s="364"/>
      <c r="Z6189" s="609" t="s">
        <v>2057</v>
      </c>
      <c r="AA6189" s="609"/>
    </row>
    <row r="6190" spans="1:27" ht="18">
      <c r="A6190" s="2714"/>
      <c r="B6190" s="371">
        <v>101</v>
      </c>
      <c r="C6190" s="371"/>
      <c r="D6190" s="2716">
        <f t="shared" ref="D6190:D6211" si="644">IF(OR(G6190="*",G6190="",G6190=0),0,COUNTIF($G$6190:$G$6211,G6190))</f>
        <v>1</v>
      </c>
      <c r="E6190" s="2721" t="s">
        <v>41</v>
      </c>
      <c r="F6190" s="294"/>
      <c r="G6190" s="308" t="s">
        <v>4834</v>
      </c>
      <c r="H6190" s="309"/>
      <c r="I6190" s="309"/>
      <c r="J6190" s="309"/>
      <c r="K6190" s="388"/>
      <c r="L6190" s="291"/>
      <c r="M6190" s="291"/>
      <c r="N6190" s="291"/>
      <c r="O6190" s="291"/>
      <c r="S6190" s="364"/>
      <c r="Z6190" s="609" t="s">
        <v>2057</v>
      </c>
      <c r="AA6190" s="609"/>
    </row>
    <row r="6191" spans="1:27" ht="18">
      <c r="A6191" s="2714"/>
      <c r="B6191" s="371">
        <v>101.001</v>
      </c>
      <c r="C6191" s="371"/>
      <c r="D6191" s="2716">
        <f t="shared" si="644"/>
        <v>1</v>
      </c>
      <c r="E6191" s="2721" t="s">
        <v>4835</v>
      </c>
      <c r="F6191" s="294"/>
      <c r="G6191" s="308" t="s">
        <v>109</v>
      </c>
      <c r="H6191" s="309"/>
      <c r="I6191" s="309"/>
      <c r="J6191" s="1476">
        <f t="shared" ref="J6191:J6196" si="645">I6191-H6191</f>
        <v>0</v>
      </c>
      <c r="K6191" s="388"/>
      <c r="L6191" s="291"/>
      <c r="M6191" s="291"/>
      <c r="N6191" s="291"/>
      <c r="O6191" s="291"/>
      <c r="S6191" s="364"/>
      <c r="Z6191" s="609" t="s">
        <v>2057</v>
      </c>
      <c r="AA6191" s="609"/>
    </row>
    <row r="6192" spans="1:27" ht="18">
      <c r="A6192" s="2714"/>
      <c r="B6192" s="371">
        <v>101.002</v>
      </c>
      <c r="C6192" s="371"/>
      <c r="D6192" s="2716">
        <f t="shared" si="644"/>
        <v>1</v>
      </c>
      <c r="E6192" s="2721" t="s">
        <v>4835</v>
      </c>
      <c r="F6192" s="294"/>
      <c r="G6192" s="308" t="s">
        <v>124</v>
      </c>
      <c r="H6192" s="309"/>
      <c r="I6192" s="309"/>
      <c r="J6192" s="1476">
        <f t="shared" si="645"/>
        <v>0</v>
      </c>
      <c r="K6192" s="388"/>
      <c r="L6192" s="291"/>
      <c r="M6192" s="291"/>
      <c r="N6192" s="291"/>
      <c r="O6192" s="291"/>
      <c r="S6192" s="364"/>
      <c r="Z6192" s="609" t="s">
        <v>2057</v>
      </c>
      <c r="AA6192" s="609"/>
    </row>
    <row r="6193" spans="1:27" ht="18">
      <c r="A6193" s="2714"/>
      <c r="B6193" s="371">
        <v>101.003</v>
      </c>
      <c r="C6193" s="371"/>
      <c r="D6193" s="2716">
        <f t="shared" si="644"/>
        <v>1</v>
      </c>
      <c r="E6193" s="2721" t="s">
        <v>4835</v>
      </c>
      <c r="F6193" s="294"/>
      <c r="G6193" s="308" t="s">
        <v>162</v>
      </c>
      <c r="H6193" s="309"/>
      <c r="I6193" s="309"/>
      <c r="J6193" s="1476">
        <f t="shared" si="645"/>
        <v>0</v>
      </c>
      <c r="K6193" s="388"/>
      <c r="L6193" s="291"/>
      <c r="M6193" s="291"/>
      <c r="N6193" s="291"/>
      <c r="O6193" s="291"/>
      <c r="S6193" s="364"/>
      <c r="Z6193" s="609" t="s">
        <v>2057</v>
      </c>
      <c r="AA6193" s="609"/>
    </row>
    <row r="6194" spans="1:27" ht="18">
      <c r="A6194" s="2714"/>
      <c r="B6194" s="371">
        <v>101.004</v>
      </c>
      <c r="C6194" s="371"/>
      <c r="D6194" s="2716">
        <f t="shared" si="644"/>
        <v>1</v>
      </c>
      <c r="E6194" s="2721" t="s">
        <v>4835</v>
      </c>
      <c r="F6194" s="294"/>
      <c r="G6194" s="308" t="s">
        <v>201</v>
      </c>
      <c r="H6194" s="309"/>
      <c r="I6194" s="309"/>
      <c r="J6194" s="1476">
        <f t="shared" si="645"/>
        <v>0</v>
      </c>
      <c r="K6194" s="388"/>
      <c r="L6194" s="291"/>
      <c r="M6194" s="291"/>
      <c r="N6194" s="291"/>
      <c r="O6194" s="291"/>
      <c r="S6194" s="364"/>
      <c r="Z6194" s="609" t="s">
        <v>2057</v>
      </c>
      <c r="AA6194" s="609"/>
    </row>
    <row r="6195" spans="1:27" ht="18">
      <c r="A6195" s="2714"/>
      <c r="B6195" s="371">
        <v>101.005</v>
      </c>
      <c r="C6195" s="371"/>
      <c r="D6195" s="2716">
        <f t="shared" si="644"/>
        <v>1</v>
      </c>
      <c r="E6195" s="2721" t="s">
        <v>4835</v>
      </c>
      <c r="F6195" s="294"/>
      <c r="G6195" s="308" t="s">
        <v>247</v>
      </c>
      <c r="H6195" s="309"/>
      <c r="I6195" s="309"/>
      <c r="J6195" s="1476">
        <f t="shared" si="645"/>
        <v>0</v>
      </c>
      <c r="K6195" s="388"/>
      <c r="L6195" s="291"/>
      <c r="M6195" s="291"/>
      <c r="N6195" s="291"/>
      <c r="O6195" s="291"/>
      <c r="S6195" s="364"/>
      <c r="Z6195" s="609" t="s">
        <v>2057</v>
      </c>
      <c r="AA6195" s="609"/>
    </row>
    <row r="6196" spans="1:27" ht="18">
      <c r="A6196" s="2714"/>
      <c r="B6196" s="371">
        <v>101.006</v>
      </c>
      <c r="C6196" s="371" t="s">
        <v>2791</v>
      </c>
      <c r="D6196" s="2716">
        <f t="shared" si="644"/>
        <v>0</v>
      </c>
      <c r="E6196" s="2721" t="s">
        <v>4835</v>
      </c>
      <c r="F6196" s="294"/>
      <c r="G6196" s="1563" t="s">
        <v>2792</v>
      </c>
      <c r="H6196" s="309"/>
      <c r="I6196" s="309"/>
      <c r="J6196" s="1476">
        <f t="shared" si="645"/>
        <v>0</v>
      </c>
      <c r="K6196" s="388"/>
      <c r="L6196" s="291"/>
      <c r="M6196" s="291"/>
      <c r="N6196" s="291"/>
      <c r="O6196" s="291"/>
      <c r="S6196" s="364"/>
      <c r="Z6196" s="609" t="s">
        <v>2057</v>
      </c>
      <c r="AA6196" s="609"/>
    </row>
    <row r="6197" spans="1:27" ht="18">
      <c r="A6197" s="2714"/>
      <c r="B6197" s="371">
        <v>101.999</v>
      </c>
      <c r="C6197" s="371"/>
      <c r="D6197" s="2716">
        <f t="shared" si="644"/>
        <v>1</v>
      </c>
      <c r="E6197" s="2721">
        <v>1</v>
      </c>
      <c r="F6197" s="294"/>
      <c r="G6197" s="308" t="s">
        <v>4835</v>
      </c>
      <c r="H6197" s="1476">
        <f>SUMIF($E$6189:$E$6210,$G6197,H$6189:H$6210)</f>
        <v>0</v>
      </c>
      <c r="I6197" s="1476">
        <f>SUMIF($E$6189:$E$6210,$G6197,I$6189:I$6210)</f>
        <v>0</v>
      </c>
      <c r="J6197" s="1476">
        <f>SUMIF($E$6189:$E$6210,$G6197,J$6189:J$6210)</f>
        <v>0</v>
      </c>
      <c r="K6197" s="388"/>
      <c r="L6197" s="291"/>
      <c r="M6197" s="291"/>
      <c r="N6197" s="291"/>
      <c r="O6197" s="291"/>
      <c r="S6197" s="364"/>
      <c r="Z6197" s="609" t="s">
        <v>2057</v>
      </c>
      <c r="AA6197" s="609"/>
    </row>
    <row r="6198" spans="1:27" ht="18">
      <c r="A6198" s="2714"/>
      <c r="B6198" s="371">
        <v>102</v>
      </c>
      <c r="C6198" s="371"/>
      <c r="D6198" s="2716">
        <f t="shared" si="644"/>
        <v>1</v>
      </c>
      <c r="E6198" s="2721" t="s">
        <v>41</v>
      </c>
      <c r="F6198" s="294"/>
      <c r="G6198" s="308" t="s">
        <v>4836</v>
      </c>
      <c r="H6198" s="309"/>
      <c r="I6198" s="309"/>
      <c r="J6198" s="309"/>
      <c r="K6198" s="388"/>
      <c r="L6198" s="532"/>
      <c r="M6198" s="291"/>
      <c r="N6198" s="291"/>
      <c r="O6198" s="291"/>
      <c r="S6198" s="364"/>
      <c r="Z6198" s="609" t="s">
        <v>2057</v>
      </c>
      <c r="AA6198" s="609"/>
    </row>
    <row r="6199" spans="1:27" ht="18">
      <c r="A6199" s="2714"/>
      <c r="B6199" s="371">
        <v>102.001</v>
      </c>
      <c r="C6199" s="371"/>
      <c r="D6199" s="2716">
        <f t="shared" si="644"/>
        <v>1</v>
      </c>
      <c r="E6199" s="2721" t="s">
        <v>4823</v>
      </c>
      <c r="F6199" s="294"/>
      <c r="G6199" s="308" t="s">
        <v>4837</v>
      </c>
      <c r="H6199" s="309"/>
      <c r="I6199" s="309"/>
      <c r="J6199" s="309"/>
      <c r="K6199" s="388"/>
      <c r="L6199" s="291"/>
      <c r="M6199" s="291"/>
      <c r="N6199" s="291"/>
      <c r="O6199" s="291"/>
      <c r="S6199" s="364"/>
      <c r="Z6199" s="609" t="s">
        <v>2057</v>
      </c>
      <c r="AA6199" s="609"/>
    </row>
    <row r="6200" spans="1:27" ht="18">
      <c r="A6200" s="2714"/>
      <c r="B6200" s="371">
        <v>102.002</v>
      </c>
      <c r="C6200" s="371"/>
      <c r="D6200" s="2716">
        <f t="shared" si="644"/>
        <v>1</v>
      </c>
      <c r="E6200" s="2721" t="s">
        <v>4838</v>
      </c>
      <c r="F6200" s="294"/>
      <c r="G6200" s="308" t="s">
        <v>4839</v>
      </c>
      <c r="H6200" s="309"/>
      <c r="I6200" s="309"/>
      <c r="J6200" s="1476">
        <f t="shared" ref="J6200:J6210" si="646">I6200-H6200</f>
        <v>0</v>
      </c>
      <c r="K6200" s="388"/>
      <c r="L6200" s="291"/>
      <c r="M6200" s="291"/>
      <c r="N6200" s="291"/>
      <c r="O6200" s="291"/>
      <c r="S6200" s="364"/>
      <c r="Z6200" s="609" t="s">
        <v>2057</v>
      </c>
      <c r="AA6200" s="609"/>
    </row>
    <row r="6201" spans="1:27" ht="24">
      <c r="A6201" s="2714"/>
      <c r="B6201" s="371">
        <v>102.003</v>
      </c>
      <c r="C6201" s="371"/>
      <c r="D6201" s="2716">
        <f t="shared" si="644"/>
        <v>1</v>
      </c>
      <c r="E6201" s="2721" t="s">
        <v>4838</v>
      </c>
      <c r="F6201" s="294"/>
      <c r="G6201" s="308" t="s">
        <v>4840</v>
      </c>
      <c r="H6201" s="309"/>
      <c r="I6201" s="309"/>
      <c r="J6201" s="1476">
        <f t="shared" si="646"/>
        <v>0</v>
      </c>
      <c r="K6201" s="388"/>
      <c r="L6201" s="291"/>
      <c r="M6201" s="291"/>
      <c r="N6201" s="291"/>
      <c r="O6201" s="291"/>
      <c r="S6201" s="364"/>
      <c r="Z6201" s="609" t="s">
        <v>2057</v>
      </c>
      <c r="AA6201" s="609"/>
    </row>
    <row r="6202" spans="1:27" ht="24">
      <c r="A6202" s="2714"/>
      <c r="B6202" s="371">
        <v>102.004</v>
      </c>
      <c r="C6202" s="371"/>
      <c r="D6202" s="2716">
        <f t="shared" si="644"/>
        <v>1</v>
      </c>
      <c r="E6202" s="2721" t="s">
        <v>4838</v>
      </c>
      <c r="F6202" s="294"/>
      <c r="G6202" s="308" t="s">
        <v>4841</v>
      </c>
      <c r="H6202" s="309"/>
      <c r="I6202" s="309"/>
      <c r="J6202" s="1476">
        <f t="shared" si="646"/>
        <v>0</v>
      </c>
      <c r="K6202" s="388"/>
      <c r="L6202" s="291"/>
      <c r="M6202" s="291"/>
      <c r="N6202" s="291"/>
      <c r="O6202" s="291"/>
      <c r="S6202" s="364"/>
      <c r="Z6202" s="609" t="s">
        <v>2057</v>
      </c>
      <c r="AA6202" s="609"/>
    </row>
    <row r="6203" spans="1:27" ht="18">
      <c r="A6203" s="2714"/>
      <c r="B6203" s="371">
        <v>102.005</v>
      </c>
      <c r="C6203" s="371"/>
      <c r="D6203" s="2716">
        <f t="shared" si="644"/>
        <v>1</v>
      </c>
      <c r="E6203" s="2721" t="s">
        <v>4838</v>
      </c>
      <c r="F6203" s="294"/>
      <c r="G6203" s="308" t="s">
        <v>4842</v>
      </c>
      <c r="H6203" s="309"/>
      <c r="I6203" s="309"/>
      <c r="J6203" s="1476">
        <f t="shared" si="646"/>
        <v>0</v>
      </c>
      <c r="K6203" s="388"/>
      <c r="L6203" s="291"/>
      <c r="M6203" s="291"/>
      <c r="N6203" s="291"/>
      <c r="O6203" s="291"/>
      <c r="S6203" s="364"/>
      <c r="Z6203" s="609" t="s">
        <v>2057</v>
      </c>
      <c r="AA6203" s="609"/>
    </row>
    <row r="6204" spans="1:27" ht="18">
      <c r="A6204" s="2714"/>
      <c r="B6204" s="371">
        <v>102.006</v>
      </c>
      <c r="C6204" s="371"/>
      <c r="D6204" s="2716">
        <f t="shared" si="644"/>
        <v>1</v>
      </c>
      <c r="E6204" s="2721" t="s">
        <v>4838</v>
      </c>
      <c r="F6204" s="294"/>
      <c r="G6204" s="308" t="s">
        <v>4843</v>
      </c>
      <c r="H6204" s="309"/>
      <c r="I6204" s="309"/>
      <c r="J6204" s="1476">
        <f t="shared" si="646"/>
        <v>0</v>
      </c>
      <c r="K6204" s="388"/>
      <c r="L6204" s="291"/>
      <c r="M6204" s="291"/>
      <c r="N6204" s="291"/>
      <c r="O6204" s="291"/>
      <c r="S6204" s="364"/>
      <c r="Z6204" s="609" t="s">
        <v>2057</v>
      </c>
      <c r="AA6204" s="609"/>
    </row>
    <row r="6205" spans="1:27" ht="18">
      <c r="A6205" s="2714"/>
      <c r="B6205" s="371">
        <v>102.00700000000001</v>
      </c>
      <c r="C6205" s="371" t="s">
        <v>2791</v>
      </c>
      <c r="D6205" s="2716">
        <f t="shared" si="644"/>
        <v>0</v>
      </c>
      <c r="E6205" s="2721" t="s">
        <v>4838</v>
      </c>
      <c r="F6205" s="294"/>
      <c r="G6205" s="1563" t="s">
        <v>2792</v>
      </c>
      <c r="H6205" s="309"/>
      <c r="I6205" s="309"/>
      <c r="J6205" s="1476">
        <f t="shared" si="646"/>
        <v>0</v>
      </c>
      <c r="K6205" s="388"/>
      <c r="L6205" s="291"/>
      <c r="M6205" s="291"/>
      <c r="N6205" s="291"/>
      <c r="O6205" s="291"/>
      <c r="S6205" s="364"/>
      <c r="Z6205" s="609" t="s">
        <v>2057</v>
      </c>
      <c r="AA6205" s="609"/>
    </row>
    <row r="6206" spans="1:27" ht="18">
      <c r="A6206" s="2714"/>
      <c r="B6206" s="371">
        <v>102.008</v>
      </c>
      <c r="C6206" s="371"/>
      <c r="D6206" s="2716">
        <f t="shared" si="644"/>
        <v>1</v>
      </c>
      <c r="E6206" s="2721" t="s">
        <v>4823</v>
      </c>
      <c r="F6206" s="294"/>
      <c r="G6206" s="308" t="s">
        <v>4844</v>
      </c>
      <c r="H6206" s="309"/>
      <c r="I6206" s="309"/>
      <c r="J6206" s="1476">
        <f t="shared" si="646"/>
        <v>0</v>
      </c>
      <c r="K6206" s="388"/>
      <c r="L6206" s="291"/>
      <c r="M6206" s="291"/>
      <c r="N6206" s="291"/>
      <c r="O6206" s="291"/>
      <c r="S6206" s="364"/>
      <c r="Z6206" s="609" t="s">
        <v>2057</v>
      </c>
      <c r="AA6206" s="609"/>
    </row>
    <row r="6207" spans="1:27" ht="18">
      <c r="A6207" s="2714"/>
      <c r="B6207" s="371">
        <v>102.009</v>
      </c>
      <c r="C6207" s="371"/>
      <c r="D6207" s="2716">
        <f t="shared" si="644"/>
        <v>1</v>
      </c>
      <c r="E6207" s="2721" t="s">
        <v>4838</v>
      </c>
      <c r="F6207" s="294"/>
      <c r="G6207" s="308" t="s">
        <v>4845</v>
      </c>
      <c r="H6207" s="309"/>
      <c r="I6207" s="309"/>
      <c r="J6207" s="1476">
        <f t="shared" si="646"/>
        <v>0</v>
      </c>
      <c r="K6207" s="388"/>
      <c r="L6207" s="291"/>
      <c r="M6207" s="291"/>
      <c r="N6207" s="291"/>
      <c r="O6207" s="291"/>
      <c r="S6207" s="364"/>
      <c r="Z6207" s="609" t="s">
        <v>2057</v>
      </c>
      <c r="AA6207" s="609"/>
    </row>
    <row r="6208" spans="1:27" ht="18">
      <c r="A6208" s="2714"/>
      <c r="B6208" s="371">
        <v>102.01</v>
      </c>
      <c r="C6208" s="371" t="s">
        <v>2791</v>
      </c>
      <c r="D6208" s="2716">
        <f t="shared" si="644"/>
        <v>0</v>
      </c>
      <c r="E6208" s="2721" t="s">
        <v>4838</v>
      </c>
      <c r="F6208" s="294"/>
      <c r="G6208" s="1563" t="s">
        <v>2792</v>
      </c>
      <c r="H6208" s="309"/>
      <c r="I6208" s="309"/>
      <c r="J6208" s="1476">
        <f t="shared" si="646"/>
        <v>0</v>
      </c>
      <c r="K6208" s="388"/>
      <c r="L6208" s="291"/>
      <c r="M6208" s="291"/>
      <c r="N6208" s="291"/>
      <c r="O6208" s="291"/>
      <c r="S6208" s="364"/>
      <c r="Z6208" s="609" t="s">
        <v>2057</v>
      </c>
      <c r="AA6208" s="609"/>
    </row>
    <row r="6209" spans="1:27" ht="18">
      <c r="A6209" s="2714"/>
      <c r="B6209" s="371">
        <v>102.999</v>
      </c>
      <c r="C6209" s="371"/>
      <c r="D6209" s="2716">
        <f t="shared" si="644"/>
        <v>1</v>
      </c>
      <c r="E6209" s="2721">
        <v>-1</v>
      </c>
      <c r="F6209" s="294"/>
      <c r="G6209" s="308" t="s">
        <v>4838</v>
      </c>
      <c r="H6209" s="1476">
        <f>SUMIF($E$6189:$E$6210,$G6209,H$6189:H$6210)</f>
        <v>0</v>
      </c>
      <c r="I6209" s="1476">
        <f>SUMIF($E$6189:$E$6210,$G6209,I$6189:I$6210)</f>
        <v>0</v>
      </c>
      <c r="J6209" s="1476">
        <f>SUMIF($E$6189:$E$6210,$G6209,J$6189:J$6210)</f>
        <v>0</v>
      </c>
      <c r="K6209" s="388"/>
      <c r="L6209" s="291"/>
      <c r="M6209" s="291"/>
      <c r="N6209" s="291"/>
      <c r="O6209" s="291"/>
      <c r="S6209" s="364"/>
      <c r="Z6209" s="609" t="s">
        <v>2057</v>
      </c>
      <c r="AA6209" s="609"/>
    </row>
    <row r="6210" spans="1:27" ht="18">
      <c r="A6210" s="2714"/>
      <c r="B6210" s="371">
        <v>103</v>
      </c>
      <c r="C6210" s="371" t="s">
        <v>2791</v>
      </c>
      <c r="D6210" s="2716">
        <f t="shared" si="644"/>
        <v>0</v>
      </c>
      <c r="E6210" s="2721">
        <v>-1</v>
      </c>
      <c r="F6210" s="294"/>
      <c r="G6210" s="1563" t="s">
        <v>2792</v>
      </c>
      <c r="H6210" s="309"/>
      <c r="I6210" s="309"/>
      <c r="J6210" s="1476">
        <f t="shared" si="646"/>
        <v>0</v>
      </c>
      <c r="K6210" s="388"/>
      <c r="L6210" s="291"/>
      <c r="M6210" s="291"/>
      <c r="N6210" s="291"/>
      <c r="O6210" s="291"/>
      <c r="S6210" s="364"/>
      <c r="Z6210" s="609" t="s">
        <v>2057</v>
      </c>
      <c r="AA6210" s="609"/>
    </row>
    <row r="6211" spans="1:27" ht="18.75" thickBot="1">
      <c r="A6211" s="2714"/>
      <c r="B6211" s="371"/>
      <c r="C6211" s="371"/>
      <c r="D6211" s="2716">
        <f t="shared" si="644"/>
        <v>1</v>
      </c>
      <c r="E6211" s="2721" t="s">
        <v>2751</v>
      </c>
      <c r="F6211" s="294"/>
      <c r="G6211" s="1529" t="s">
        <v>2752</v>
      </c>
      <c r="H6211" s="1527">
        <f>SUMPRODUCT($E6189:$E6210,H6189:H6210)</f>
        <v>0</v>
      </c>
      <c r="I6211" s="1527">
        <f>SUMPRODUCT($E6189:$E6210,I6189:I6210)</f>
        <v>0</v>
      </c>
      <c r="J6211" s="1527">
        <f>SUMPRODUCT($E6189:$E6210,J6189:J6210)</f>
        <v>0</v>
      </c>
      <c r="K6211" s="1571"/>
      <c r="L6211" s="291"/>
      <c r="M6211" s="291"/>
      <c r="N6211" s="291"/>
      <c r="O6211" s="291"/>
      <c r="S6211" s="364"/>
      <c r="Z6211" s="609" t="s">
        <v>2057</v>
      </c>
      <c r="AA6211" s="609"/>
    </row>
    <row r="6212" spans="1:27" ht="18">
      <c r="A6212" s="2714"/>
      <c r="B6212" s="371"/>
      <c r="C6212" s="371" t="s">
        <v>2755</v>
      </c>
      <c r="D6212" s="371"/>
      <c r="F6212" s="294"/>
      <c r="G6212" s="301"/>
      <c r="H6212" s="315"/>
      <c r="I6212" s="315"/>
      <c r="J6212" s="315"/>
      <c r="K6212" s="393"/>
      <c r="L6212" s="291"/>
      <c r="M6212" s="291"/>
      <c r="N6212" s="291"/>
      <c r="O6212" s="291"/>
      <c r="S6212" s="364"/>
      <c r="Z6212" s="609" t="s">
        <v>2057</v>
      </c>
      <c r="AA6212" s="609"/>
    </row>
    <row r="6213" spans="1:27" ht="18">
      <c r="A6213" s="2714">
        <v>7519</v>
      </c>
      <c r="B6213" s="371">
        <v>79.14</v>
      </c>
      <c r="C6213" s="2716" t="str">
        <f>VLOOKUP($A6213,Sheet_Items,2,0)</f>
        <v>经营性应付项目的增加</v>
      </c>
      <c r="D6213" s="371"/>
      <c r="E6213" s="2716" t="s">
        <v>2739</v>
      </c>
      <c r="F6213" s="294"/>
      <c r="G6213" s="536" t="str">
        <f>B6213&amp;" "&amp;C6213</f>
        <v>79.14 经营性应付项目的增加</v>
      </c>
      <c r="H6213" s="322"/>
      <c r="I6213" s="322"/>
      <c r="J6213" s="306" t="s">
        <v>4206</v>
      </c>
      <c r="K6213" s="341">
        <f>VLOOKUP($A6213,Sheet_Trialbal,6,0)</f>
        <v>-4780269.82</v>
      </c>
      <c r="L6213" s="342"/>
      <c r="M6213" s="306"/>
      <c r="N6213" s="341"/>
      <c r="O6213" s="306"/>
      <c r="P6213" s="301"/>
      <c r="S6213" s="364"/>
      <c r="Z6213" s="609" t="s">
        <v>2060</v>
      </c>
      <c r="AA6213" s="609"/>
    </row>
    <row r="6214" spans="1:27" ht="36">
      <c r="A6214" s="2714" t="s">
        <v>2058</v>
      </c>
      <c r="B6214" s="371">
        <v>1</v>
      </c>
      <c r="C6214" s="371"/>
      <c r="D6214" s="2716" t="str">
        <f>VLOOKUP($A6214,Sheet_NoteList,2,0)</f>
        <v>将净利润调节为经营活动现金流量：经营性应付项目的增加</v>
      </c>
      <c r="E6214" s="2716" t="s">
        <v>2742</v>
      </c>
      <c r="F6214" s="294"/>
      <c r="G6214" s="372" t="str">
        <f>"("&amp;B6214&amp;")"&amp;D6214</f>
        <v>(1)将净利润调节为经营活动现金流量：经营性应付项目的增加</v>
      </c>
      <c r="H6214" s="1517" t="str">
        <f>$A6214</f>
        <v>7519a</v>
      </c>
      <c r="I6214" s="343" t="s">
        <v>2743</v>
      </c>
      <c r="J6214" s="301" t="s">
        <v>4712</v>
      </c>
      <c r="K6214" s="2210">
        <f>J6240</f>
        <v>0</v>
      </c>
      <c r="L6214" s="345">
        <f>IF(ROUND(K6213-K6214,2)=0,"F/S",ROUND(K6213-K6214,2))</f>
        <v>-4780269.82</v>
      </c>
      <c r="M6214" s="532" t="s">
        <v>4713</v>
      </c>
      <c r="N6214" s="3081"/>
      <c r="O6214" s="315"/>
      <c r="P6214" s="301"/>
      <c r="S6214" s="364"/>
      <c r="Z6214" s="609" t="s">
        <v>2060</v>
      </c>
      <c r="AA6214" s="609"/>
    </row>
    <row r="6215" spans="1:27" ht="0.75" customHeight="1" thickBot="1">
      <c r="A6215" s="2714"/>
      <c r="B6215" s="371"/>
      <c r="C6215" s="371"/>
      <c r="D6215" s="371"/>
      <c r="F6215" s="294"/>
      <c r="G6215" s="294" t="s">
        <v>4846</v>
      </c>
      <c r="H6215" s="294" t="s">
        <v>2747</v>
      </c>
      <c r="I6215" s="294" t="s">
        <v>2748</v>
      </c>
      <c r="J6215" s="294" t="s">
        <v>3250</v>
      </c>
      <c r="K6215" s="294" t="s">
        <v>2898</v>
      </c>
      <c r="L6215" s="291"/>
      <c r="M6215" s="291"/>
      <c r="N6215" s="291"/>
      <c r="O6215" s="291"/>
      <c r="S6215" s="364"/>
      <c r="Z6215" s="609" t="s">
        <v>2060</v>
      </c>
      <c r="AA6215" s="609"/>
    </row>
    <row r="6216" spans="1:27" ht="18">
      <c r="A6216" s="2714"/>
      <c r="B6216" s="371"/>
      <c r="C6216" s="371"/>
      <c r="D6216" s="371"/>
      <c r="E6216" s="2716" t="s">
        <v>2749</v>
      </c>
      <c r="F6216" s="294"/>
      <c r="G6216" s="1564" t="s">
        <v>47</v>
      </c>
      <c r="H6216" s="1565" t="s">
        <v>3276</v>
      </c>
      <c r="I6216" s="1565" t="s">
        <v>3273</v>
      </c>
      <c r="J6216" s="1565" t="s">
        <v>3274</v>
      </c>
      <c r="K6216" s="1566" t="s">
        <v>2508</v>
      </c>
      <c r="L6216" s="291"/>
      <c r="M6216" s="291"/>
      <c r="N6216" s="291"/>
      <c r="O6216" s="291"/>
      <c r="S6216" s="364"/>
      <c r="Z6216" s="609" t="s">
        <v>2060</v>
      </c>
      <c r="AA6216" s="609"/>
    </row>
    <row r="6217" spans="1:27" ht="18">
      <c r="A6217" s="2714"/>
      <c r="B6217" s="371">
        <v>101</v>
      </c>
      <c r="C6217" s="371"/>
      <c r="D6217" s="2716">
        <f t="shared" ref="D6217:D6240" si="647">IF(OR(G6217="*",G6217="",G6217=0),0,COUNTIF($G$6217:$G$6240,G6217))</f>
        <v>1</v>
      </c>
      <c r="E6217" s="2721" t="s">
        <v>41</v>
      </c>
      <c r="F6217" s="294"/>
      <c r="G6217" s="308" t="s">
        <v>4847</v>
      </c>
      <c r="H6217" s="309"/>
      <c r="I6217" s="309"/>
      <c r="J6217" s="309"/>
      <c r="K6217" s="388"/>
      <c r="L6217" s="291"/>
      <c r="M6217" s="291"/>
      <c r="N6217" s="291"/>
      <c r="O6217" s="291"/>
      <c r="S6217" s="364"/>
      <c r="Z6217" s="609" t="s">
        <v>2060</v>
      </c>
      <c r="AA6217" s="609"/>
    </row>
    <row r="6218" spans="1:27" ht="18">
      <c r="A6218" s="2714"/>
      <c r="B6218" s="371">
        <v>101.001</v>
      </c>
      <c r="C6218" s="371"/>
      <c r="D6218" s="2716">
        <f t="shared" si="647"/>
        <v>1</v>
      </c>
      <c r="E6218" s="2721" t="s">
        <v>4848</v>
      </c>
      <c r="F6218" s="294"/>
      <c r="G6218" s="308" t="s">
        <v>471</v>
      </c>
      <c r="H6218" s="309"/>
      <c r="I6218" s="309"/>
      <c r="J6218" s="1476">
        <f t="shared" ref="J6218:J6225" si="648">H6218-I6218</f>
        <v>0</v>
      </c>
      <c r="K6218" s="388"/>
      <c r="L6218" s="291"/>
      <c r="M6218" s="291"/>
      <c r="N6218" s="291"/>
      <c r="O6218" s="291"/>
      <c r="S6218" s="364"/>
      <c r="Z6218" s="609" t="s">
        <v>2060</v>
      </c>
      <c r="AA6218" s="609"/>
    </row>
    <row r="6219" spans="1:27" ht="18">
      <c r="A6219" s="2714"/>
      <c r="B6219" s="371">
        <v>101.002</v>
      </c>
      <c r="C6219" s="371"/>
      <c r="D6219" s="2716">
        <f t="shared" si="647"/>
        <v>1</v>
      </c>
      <c r="E6219" s="2721" t="s">
        <v>4848</v>
      </c>
      <c r="F6219" s="294"/>
      <c r="G6219" s="308" t="s">
        <v>476</v>
      </c>
      <c r="H6219" s="309"/>
      <c r="I6219" s="309"/>
      <c r="J6219" s="1476">
        <f t="shared" si="648"/>
        <v>0</v>
      </c>
      <c r="K6219" s="388"/>
      <c r="L6219" s="291"/>
      <c r="M6219" s="291"/>
      <c r="N6219" s="291"/>
      <c r="O6219" s="291"/>
      <c r="S6219" s="364"/>
      <c r="Z6219" s="609" t="s">
        <v>2060</v>
      </c>
      <c r="AA6219" s="609"/>
    </row>
    <row r="6220" spans="1:27" ht="18">
      <c r="A6220" s="2714"/>
      <c r="B6220" s="371">
        <v>101.003</v>
      </c>
      <c r="C6220" s="371"/>
      <c r="D6220" s="2716">
        <f t="shared" si="647"/>
        <v>1</v>
      </c>
      <c r="E6220" s="2721" t="s">
        <v>4848</v>
      </c>
      <c r="F6220" s="294"/>
      <c r="G6220" s="308" t="s">
        <v>484</v>
      </c>
      <c r="H6220" s="309"/>
      <c r="I6220" s="309"/>
      <c r="J6220" s="1476">
        <f t="shared" si="648"/>
        <v>0</v>
      </c>
      <c r="K6220" s="388"/>
      <c r="L6220" s="291"/>
      <c r="M6220" s="291"/>
      <c r="N6220" s="291"/>
      <c r="O6220" s="291"/>
      <c r="S6220" s="364"/>
      <c r="Z6220" s="609" t="s">
        <v>2060</v>
      </c>
      <c r="AA6220" s="609"/>
    </row>
    <row r="6221" spans="1:27" ht="18">
      <c r="A6221" s="2714"/>
      <c r="B6221" s="371">
        <v>101.004</v>
      </c>
      <c r="C6221" s="371"/>
      <c r="D6221" s="2716">
        <f t="shared" si="647"/>
        <v>1</v>
      </c>
      <c r="E6221" s="2721" t="s">
        <v>4848</v>
      </c>
      <c r="F6221" s="294"/>
      <c r="G6221" s="308" t="s">
        <v>489</v>
      </c>
      <c r="H6221" s="309"/>
      <c r="I6221" s="309"/>
      <c r="J6221" s="1476">
        <f t="shared" si="648"/>
        <v>0</v>
      </c>
      <c r="K6221" s="388"/>
      <c r="L6221" s="291"/>
      <c r="M6221" s="291"/>
      <c r="N6221" s="291"/>
      <c r="O6221" s="291"/>
      <c r="S6221" s="364"/>
      <c r="Z6221" s="609" t="s">
        <v>2060</v>
      </c>
      <c r="AA6221" s="609"/>
    </row>
    <row r="6222" spans="1:27" ht="18">
      <c r="A6222" s="2714"/>
      <c r="B6222" s="371">
        <v>101.005</v>
      </c>
      <c r="C6222" s="371"/>
      <c r="D6222" s="2716">
        <f t="shared" si="647"/>
        <v>1</v>
      </c>
      <c r="E6222" s="2721" t="s">
        <v>4848</v>
      </c>
      <c r="F6222" s="294"/>
      <c r="G6222" s="308" t="s">
        <v>494</v>
      </c>
      <c r="H6222" s="309"/>
      <c r="I6222" s="309"/>
      <c r="J6222" s="1476">
        <f t="shared" si="648"/>
        <v>0</v>
      </c>
      <c r="K6222" s="388"/>
      <c r="L6222" s="291"/>
      <c r="M6222" s="291"/>
      <c r="N6222" s="291"/>
      <c r="O6222" s="291"/>
      <c r="S6222" s="364"/>
      <c r="Z6222" s="609" t="s">
        <v>2060</v>
      </c>
      <c r="AA6222" s="609"/>
    </row>
    <row r="6223" spans="1:27" ht="18">
      <c r="A6223" s="2714"/>
      <c r="B6223" s="371">
        <v>101.006</v>
      </c>
      <c r="C6223" s="371"/>
      <c r="D6223" s="2716">
        <f t="shared" si="647"/>
        <v>1</v>
      </c>
      <c r="E6223" s="2721" t="s">
        <v>4848</v>
      </c>
      <c r="F6223" s="294"/>
      <c r="G6223" s="308" t="s">
        <v>513</v>
      </c>
      <c r="H6223" s="309"/>
      <c r="I6223" s="309"/>
      <c r="J6223" s="1476">
        <f t="shared" si="648"/>
        <v>0</v>
      </c>
      <c r="K6223" s="388"/>
      <c r="L6223" s="291"/>
      <c r="M6223" s="291"/>
      <c r="N6223" s="291"/>
      <c r="O6223" s="291"/>
      <c r="S6223" s="364"/>
      <c r="Z6223" s="609" t="s">
        <v>2060</v>
      </c>
      <c r="AA6223" s="609"/>
    </row>
    <row r="6224" spans="1:27" ht="18">
      <c r="A6224" s="2714"/>
      <c r="B6224" s="371">
        <v>101.00700000000001</v>
      </c>
      <c r="C6224" s="371"/>
      <c r="D6224" s="2716">
        <f t="shared" si="647"/>
        <v>1</v>
      </c>
      <c r="E6224" s="2721" t="s">
        <v>4848</v>
      </c>
      <c r="F6224" s="294"/>
      <c r="G6224" s="308" t="s">
        <v>534</v>
      </c>
      <c r="H6224" s="309"/>
      <c r="I6224" s="309"/>
      <c r="J6224" s="1476">
        <f t="shared" si="648"/>
        <v>0</v>
      </c>
      <c r="K6224" s="388"/>
      <c r="L6224" s="291"/>
      <c r="M6224" s="291"/>
      <c r="N6224" s="291"/>
      <c r="O6224" s="291"/>
      <c r="S6224" s="364"/>
      <c r="Z6224" s="609" t="s">
        <v>2060</v>
      </c>
      <c r="AA6224" s="609"/>
    </row>
    <row r="6225" spans="1:27" ht="18">
      <c r="A6225" s="2714"/>
      <c r="B6225" s="371">
        <v>101.008</v>
      </c>
      <c r="C6225" s="371" t="s">
        <v>2791</v>
      </c>
      <c r="D6225" s="2716">
        <f t="shared" si="647"/>
        <v>0</v>
      </c>
      <c r="E6225" s="2721" t="s">
        <v>4848</v>
      </c>
      <c r="F6225" s="294"/>
      <c r="G6225" s="1563" t="s">
        <v>2792</v>
      </c>
      <c r="H6225" s="309"/>
      <c r="I6225" s="309"/>
      <c r="J6225" s="1476">
        <f t="shared" si="648"/>
        <v>0</v>
      </c>
      <c r="K6225" s="388"/>
      <c r="L6225" s="291"/>
      <c r="M6225" s="291"/>
      <c r="N6225" s="291"/>
      <c r="O6225" s="291"/>
      <c r="S6225" s="364"/>
      <c r="Z6225" s="609" t="s">
        <v>2060</v>
      </c>
      <c r="AA6225" s="609"/>
    </row>
    <row r="6226" spans="1:27" ht="18">
      <c r="A6226" s="2714"/>
      <c r="B6226" s="371">
        <v>101.999</v>
      </c>
      <c r="C6226" s="371"/>
      <c r="D6226" s="2716">
        <f t="shared" si="647"/>
        <v>1</v>
      </c>
      <c r="E6226" s="2721">
        <v>1</v>
      </c>
      <c r="F6226" s="294"/>
      <c r="G6226" s="308" t="s">
        <v>4848</v>
      </c>
      <c r="H6226" s="1476">
        <f>SUMIF($E$6216:$E$6239,$G6226,H$6216:H$6239)</f>
        <v>0</v>
      </c>
      <c r="I6226" s="1476">
        <f>SUMIF($E$6216:$E$6239,$G6226,I$6216:I$6239)</f>
        <v>0</v>
      </c>
      <c r="J6226" s="1476">
        <f>SUMIF($E$6216:$E$6239,$G6226,J$6216:J$6239)</f>
        <v>0</v>
      </c>
      <c r="K6226" s="388"/>
      <c r="L6226" s="291"/>
      <c r="M6226" s="291"/>
      <c r="N6226" s="291"/>
      <c r="O6226" s="291"/>
      <c r="S6226" s="364"/>
      <c r="Z6226" s="609" t="s">
        <v>2060</v>
      </c>
      <c r="AA6226" s="609"/>
    </row>
    <row r="6227" spans="1:27" ht="18">
      <c r="A6227" s="2714"/>
      <c r="B6227" s="371">
        <v>102</v>
      </c>
      <c r="C6227" s="371"/>
      <c r="D6227" s="2716">
        <f t="shared" si="647"/>
        <v>1</v>
      </c>
      <c r="E6227" s="2721" t="s">
        <v>41</v>
      </c>
      <c r="F6227" s="294"/>
      <c r="G6227" s="308" t="s">
        <v>4849</v>
      </c>
      <c r="H6227" s="309"/>
      <c r="I6227" s="309"/>
      <c r="J6227" s="309"/>
      <c r="K6227" s="388"/>
      <c r="L6227" s="532"/>
      <c r="M6227" s="291"/>
      <c r="N6227" s="291"/>
      <c r="O6227" s="291"/>
      <c r="S6227" s="364"/>
      <c r="Z6227" s="609" t="s">
        <v>2060</v>
      </c>
      <c r="AA6227" s="609"/>
    </row>
    <row r="6228" spans="1:27" ht="18">
      <c r="A6228" s="2714"/>
      <c r="B6228" s="371">
        <v>102.001</v>
      </c>
      <c r="C6228" s="371"/>
      <c r="D6228" s="2716">
        <f t="shared" si="647"/>
        <v>1</v>
      </c>
      <c r="E6228" s="2721" t="s">
        <v>4823</v>
      </c>
      <c r="F6228" s="294"/>
      <c r="G6228" s="308" t="s">
        <v>4850</v>
      </c>
      <c r="H6228" s="309"/>
      <c r="I6228" s="309"/>
      <c r="J6228" s="309"/>
      <c r="K6228" s="388"/>
      <c r="L6228" s="291"/>
      <c r="M6228" s="291"/>
      <c r="N6228" s="291"/>
      <c r="O6228" s="291"/>
      <c r="S6228" s="364"/>
      <c r="Z6228" s="609" t="s">
        <v>2060</v>
      </c>
      <c r="AA6228" s="609"/>
    </row>
    <row r="6229" spans="1:27" ht="24">
      <c r="A6229" s="2714"/>
      <c r="B6229" s="371">
        <v>102.002</v>
      </c>
      <c r="C6229" s="371"/>
      <c r="D6229" s="2716">
        <f t="shared" si="647"/>
        <v>1</v>
      </c>
      <c r="E6229" s="2721" t="s">
        <v>4851</v>
      </c>
      <c r="F6229" s="294"/>
      <c r="G6229" s="308" t="s">
        <v>4852</v>
      </c>
      <c r="H6229" s="309"/>
      <c r="I6229" s="309"/>
      <c r="J6229" s="1476">
        <f t="shared" ref="J6229:J6237" si="649">H6229-I6229</f>
        <v>0</v>
      </c>
      <c r="K6229" s="388"/>
      <c r="L6229" s="291"/>
      <c r="M6229" s="291"/>
      <c r="N6229" s="291"/>
      <c r="O6229" s="291"/>
      <c r="S6229" s="364"/>
      <c r="Z6229" s="609" t="s">
        <v>2060</v>
      </c>
      <c r="AA6229" s="609"/>
    </row>
    <row r="6230" spans="1:27" ht="24">
      <c r="A6230" s="2714"/>
      <c r="B6230" s="371">
        <v>102.003</v>
      </c>
      <c r="C6230" s="371"/>
      <c r="D6230" s="2716">
        <f t="shared" si="647"/>
        <v>1</v>
      </c>
      <c r="E6230" s="2721" t="s">
        <v>4851</v>
      </c>
      <c r="F6230" s="294"/>
      <c r="G6230" s="308" t="s">
        <v>4853</v>
      </c>
      <c r="H6230" s="309"/>
      <c r="I6230" s="309"/>
      <c r="J6230" s="1476">
        <f t="shared" si="649"/>
        <v>0</v>
      </c>
      <c r="K6230" s="388"/>
      <c r="L6230" s="291"/>
      <c r="M6230" s="291"/>
      <c r="N6230" s="291"/>
      <c r="O6230" s="291"/>
      <c r="S6230" s="364"/>
      <c r="Z6230" s="609" t="s">
        <v>2060</v>
      </c>
      <c r="AA6230" s="609"/>
    </row>
    <row r="6231" spans="1:27" ht="24">
      <c r="A6231" s="2714"/>
      <c r="B6231" s="371">
        <v>102.004</v>
      </c>
      <c r="C6231" s="371"/>
      <c r="D6231" s="2716">
        <f t="shared" si="647"/>
        <v>1</v>
      </c>
      <c r="E6231" s="2721" t="s">
        <v>4851</v>
      </c>
      <c r="F6231" s="294"/>
      <c r="G6231" s="308" t="s">
        <v>4854</v>
      </c>
      <c r="H6231" s="309"/>
      <c r="I6231" s="309"/>
      <c r="J6231" s="1476">
        <f t="shared" si="649"/>
        <v>0</v>
      </c>
      <c r="K6231" s="388"/>
      <c r="L6231" s="291"/>
      <c r="M6231" s="291"/>
      <c r="N6231" s="291"/>
      <c r="O6231" s="291"/>
      <c r="S6231" s="364"/>
      <c r="Z6231" s="609" t="s">
        <v>2060</v>
      </c>
      <c r="AA6231" s="609"/>
    </row>
    <row r="6232" spans="1:27" ht="18">
      <c r="A6232" s="2714"/>
      <c r="B6232" s="371">
        <v>102.005</v>
      </c>
      <c r="C6232" s="371"/>
      <c r="D6232" s="2716">
        <f t="shared" si="647"/>
        <v>1</v>
      </c>
      <c r="E6232" s="2721" t="s">
        <v>4851</v>
      </c>
      <c r="F6232" s="294"/>
      <c r="G6232" s="308" t="s">
        <v>4855</v>
      </c>
      <c r="H6232" s="309"/>
      <c r="I6232" s="309"/>
      <c r="J6232" s="1476">
        <f t="shared" si="649"/>
        <v>0</v>
      </c>
      <c r="K6232" s="388"/>
      <c r="L6232" s="291"/>
      <c r="M6232" s="291"/>
      <c r="N6232" s="291"/>
      <c r="O6232" s="291"/>
      <c r="S6232" s="364"/>
      <c r="Z6232" s="609" t="s">
        <v>2060</v>
      </c>
      <c r="AA6232" s="609"/>
    </row>
    <row r="6233" spans="1:27" ht="18">
      <c r="A6233" s="2714"/>
      <c r="B6233" s="371">
        <v>102.006</v>
      </c>
      <c r="C6233" s="371"/>
      <c r="D6233" s="2716">
        <f t="shared" si="647"/>
        <v>1</v>
      </c>
      <c r="E6233" s="2721" t="s">
        <v>4851</v>
      </c>
      <c r="F6233" s="294"/>
      <c r="G6233" s="308" t="s">
        <v>4856</v>
      </c>
      <c r="H6233" s="309"/>
      <c r="I6233" s="309"/>
      <c r="J6233" s="1476">
        <f t="shared" si="649"/>
        <v>0</v>
      </c>
      <c r="K6233" s="388"/>
      <c r="L6233" s="291"/>
      <c r="M6233" s="291"/>
      <c r="N6233" s="291"/>
      <c r="O6233" s="291"/>
      <c r="S6233" s="364"/>
      <c r="Z6233" s="609" t="s">
        <v>2060</v>
      </c>
      <c r="AA6233" s="609"/>
    </row>
    <row r="6234" spans="1:27" ht="18">
      <c r="A6234" s="2714"/>
      <c r="B6234" s="371">
        <v>102.00700000000001</v>
      </c>
      <c r="C6234" s="371" t="s">
        <v>2791</v>
      </c>
      <c r="D6234" s="2716">
        <f t="shared" si="647"/>
        <v>0</v>
      </c>
      <c r="E6234" s="2721" t="s">
        <v>4851</v>
      </c>
      <c r="F6234" s="294"/>
      <c r="G6234" s="1563" t="s">
        <v>2792</v>
      </c>
      <c r="H6234" s="309"/>
      <c r="I6234" s="309"/>
      <c r="J6234" s="1476">
        <f t="shared" si="649"/>
        <v>0</v>
      </c>
      <c r="K6234" s="388"/>
      <c r="L6234" s="291"/>
      <c r="M6234" s="291"/>
      <c r="N6234" s="291"/>
      <c r="O6234" s="291"/>
      <c r="S6234" s="364"/>
      <c r="Z6234" s="609" t="s">
        <v>2060</v>
      </c>
      <c r="AA6234" s="609"/>
    </row>
    <row r="6235" spans="1:27" ht="18">
      <c r="A6235" s="2714"/>
      <c r="B6235" s="371">
        <v>102.008</v>
      </c>
      <c r="C6235" s="371"/>
      <c r="D6235" s="2716">
        <f t="shared" si="647"/>
        <v>1</v>
      </c>
      <c r="E6235" s="2721" t="s">
        <v>4823</v>
      </c>
      <c r="F6235" s="294"/>
      <c r="G6235" s="308" t="s">
        <v>4857</v>
      </c>
      <c r="H6235" s="309"/>
      <c r="I6235" s="309"/>
      <c r="J6235" s="1476">
        <f t="shared" si="649"/>
        <v>0</v>
      </c>
      <c r="K6235" s="388"/>
      <c r="L6235" s="291"/>
      <c r="M6235" s="291"/>
      <c r="N6235" s="291"/>
      <c r="O6235" s="291"/>
      <c r="S6235" s="364"/>
      <c r="Z6235" s="609" t="s">
        <v>2060</v>
      </c>
      <c r="AA6235" s="609"/>
    </row>
    <row r="6236" spans="1:27" ht="18">
      <c r="A6236" s="2714"/>
      <c r="B6236" s="371">
        <v>102.009</v>
      </c>
      <c r="C6236" s="371"/>
      <c r="D6236" s="2716">
        <f t="shared" si="647"/>
        <v>1</v>
      </c>
      <c r="E6236" s="2721" t="s">
        <v>4851</v>
      </c>
      <c r="F6236" s="294"/>
      <c r="G6236" s="308" t="s">
        <v>4858</v>
      </c>
      <c r="H6236" s="309"/>
      <c r="I6236" s="309"/>
      <c r="J6236" s="1476">
        <f t="shared" si="649"/>
        <v>0</v>
      </c>
      <c r="K6236" s="388"/>
      <c r="L6236" s="291"/>
      <c r="M6236" s="291"/>
      <c r="N6236" s="291"/>
      <c r="O6236" s="291"/>
      <c r="S6236" s="364"/>
      <c r="Z6236" s="609" t="s">
        <v>2060</v>
      </c>
      <c r="AA6236" s="609"/>
    </row>
    <row r="6237" spans="1:27" ht="18">
      <c r="A6237" s="2714"/>
      <c r="B6237" s="371">
        <v>102.01</v>
      </c>
      <c r="C6237" s="371" t="s">
        <v>2791</v>
      </c>
      <c r="D6237" s="2716">
        <f t="shared" si="647"/>
        <v>0</v>
      </c>
      <c r="E6237" s="2721" t="s">
        <v>4851</v>
      </c>
      <c r="F6237" s="294"/>
      <c r="G6237" s="1563" t="s">
        <v>2792</v>
      </c>
      <c r="H6237" s="309"/>
      <c r="I6237" s="309"/>
      <c r="J6237" s="1476">
        <f t="shared" si="649"/>
        <v>0</v>
      </c>
      <c r="K6237" s="388"/>
      <c r="L6237" s="291"/>
      <c r="M6237" s="291"/>
      <c r="N6237" s="291"/>
      <c r="O6237" s="291"/>
      <c r="S6237" s="364"/>
      <c r="Z6237" s="609" t="s">
        <v>2060</v>
      </c>
      <c r="AA6237" s="609"/>
    </row>
    <row r="6238" spans="1:27" ht="18">
      <c r="A6238" s="2714"/>
      <c r="B6238" s="371">
        <v>102.999</v>
      </c>
      <c r="C6238" s="371"/>
      <c r="D6238" s="2716">
        <f t="shared" si="647"/>
        <v>1</v>
      </c>
      <c r="E6238" s="2721">
        <v>-1</v>
      </c>
      <c r="F6238" s="294"/>
      <c r="G6238" s="308" t="s">
        <v>4851</v>
      </c>
      <c r="H6238" s="1476">
        <f>SUMIF($E$6216:$E$6239,$G6238,H$6216:H$6239)</f>
        <v>0</v>
      </c>
      <c r="I6238" s="1476">
        <f>SUMIF($E$6216:$E$6239,$G6238,I$6216:I$6239)</f>
        <v>0</v>
      </c>
      <c r="J6238" s="1476">
        <f>SUMIF($E$6216:$E$6239,$G6238,J$6216:J$6239)</f>
        <v>0</v>
      </c>
      <c r="K6238" s="388"/>
      <c r="L6238" s="291"/>
      <c r="M6238" s="291"/>
      <c r="N6238" s="291"/>
      <c r="O6238" s="291"/>
      <c r="S6238" s="364"/>
      <c r="Z6238" s="609" t="s">
        <v>2060</v>
      </c>
      <c r="AA6238" s="609"/>
    </row>
    <row r="6239" spans="1:27" ht="18">
      <c r="A6239" s="2714"/>
      <c r="B6239" s="371">
        <v>103</v>
      </c>
      <c r="C6239" s="371" t="s">
        <v>2791</v>
      </c>
      <c r="D6239" s="2716">
        <f t="shared" si="647"/>
        <v>0</v>
      </c>
      <c r="E6239" s="2721">
        <v>-1</v>
      </c>
      <c r="F6239" s="294"/>
      <c r="G6239" s="1563" t="s">
        <v>2792</v>
      </c>
      <c r="H6239" s="309"/>
      <c r="I6239" s="309"/>
      <c r="J6239" s="309"/>
      <c r="K6239" s="388"/>
      <c r="L6239" s="291"/>
      <c r="M6239" s="291"/>
      <c r="N6239" s="291"/>
      <c r="O6239" s="291"/>
      <c r="S6239" s="364"/>
      <c r="Z6239" s="609" t="s">
        <v>2060</v>
      </c>
      <c r="AA6239" s="609"/>
    </row>
    <row r="6240" spans="1:27" ht="18.75" thickBot="1">
      <c r="A6240" s="2714"/>
      <c r="B6240" s="371"/>
      <c r="C6240" s="371"/>
      <c r="D6240" s="2716">
        <f t="shared" si="647"/>
        <v>1</v>
      </c>
      <c r="E6240" s="2721" t="s">
        <v>2751</v>
      </c>
      <c r="F6240" s="294"/>
      <c r="G6240" s="1529" t="s">
        <v>2752</v>
      </c>
      <c r="H6240" s="1527">
        <f>SUMPRODUCT($E6216:$E6239,H6216:H6239)</f>
        <v>0</v>
      </c>
      <c r="I6240" s="1527">
        <f>SUMPRODUCT($E6216:$E6239,I6216:I6239)</f>
        <v>0</v>
      </c>
      <c r="J6240" s="1527">
        <f>SUMPRODUCT($E6216:$E6239,J6216:J6239)</f>
        <v>0</v>
      </c>
      <c r="K6240" s="1571"/>
      <c r="L6240" s="291"/>
      <c r="M6240" s="291"/>
      <c r="N6240" s="291"/>
      <c r="O6240" s="291"/>
      <c r="S6240" s="364"/>
      <c r="Z6240" s="609" t="s">
        <v>2060</v>
      </c>
      <c r="AA6240" s="609"/>
    </row>
    <row r="6241" spans="1:27" ht="18">
      <c r="A6241" s="2714"/>
      <c r="B6241" s="371"/>
      <c r="C6241" s="371" t="s">
        <v>2755</v>
      </c>
      <c r="D6241" s="371"/>
      <c r="F6241" s="294"/>
      <c r="G6241" s="301"/>
      <c r="H6241" s="315"/>
      <c r="I6241" s="315"/>
      <c r="J6241" s="315"/>
      <c r="K6241" s="393"/>
      <c r="L6241" s="291"/>
      <c r="M6241" s="291"/>
      <c r="N6241" s="291"/>
      <c r="O6241" s="291"/>
      <c r="S6241" s="364"/>
      <c r="Z6241" s="609" t="s">
        <v>2060</v>
      </c>
      <c r="AA6241" s="609"/>
    </row>
    <row r="6242" spans="1:27" ht="18">
      <c r="A6242" s="2714">
        <v>7523</v>
      </c>
      <c r="B6242" s="371">
        <v>79.150000000000006</v>
      </c>
      <c r="C6242" s="2716" t="str">
        <f>VLOOKUP($A6242,Sheet_Items,2,0)</f>
        <v>其他将净利润调节为经营活动现金流量项目</v>
      </c>
      <c r="D6242" s="371"/>
      <c r="E6242" s="2716" t="s">
        <v>2739</v>
      </c>
      <c r="F6242" s="294"/>
      <c r="G6242" s="536" t="str">
        <f>B6242&amp;" "&amp;C6242</f>
        <v>79.15 其他将净利润调节为经营活动现金流量项目</v>
      </c>
      <c r="H6242" s="322"/>
      <c r="I6242" s="322"/>
      <c r="J6242" s="306" t="s">
        <v>4206</v>
      </c>
      <c r="K6242" s="341">
        <f>VLOOKUP($A6242,Sheet_Trialbal,6,0)</f>
        <v>0</v>
      </c>
      <c r="L6242" s="342"/>
      <c r="M6242" s="306"/>
      <c r="N6242" s="341"/>
      <c r="O6242" s="306"/>
      <c r="P6242" s="301"/>
      <c r="S6242" s="364"/>
      <c r="Z6242" s="609" t="s">
        <v>2063</v>
      </c>
      <c r="AA6242" s="609"/>
    </row>
    <row r="6243" spans="1:27" ht="24">
      <c r="A6243" s="2714" t="s">
        <v>2061</v>
      </c>
      <c r="B6243" s="371">
        <v>1</v>
      </c>
      <c r="C6243" s="371"/>
      <c r="D6243" s="2716" t="str">
        <f>VLOOKUP($A6243,Sheet_NoteList,2,0)</f>
        <v>将净利润调节为经营活动现金流量：其他项目</v>
      </c>
      <c r="E6243" s="2716" t="s">
        <v>2742</v>
      </c>
      <c r="F6243" s="294"/>
      <c r="G6243" s="372" t="str">
        <f>"("&amp;B6243&amp;")"&amp;D6243</f>
        <v>(1)将净利润调节为经营活动现金流量：其他项目</v>
      </c>
      <c r="H6243" s="1517" t="str">
        <f>$A6243</f>
        <v>7523a</v>
      </c>
      <c r="I6243" s="343" t="s">
        <v>2743</v>
      </c>
      <c r="J6243" s="301" t="s">
        <v>4712</v>
      </c>
      <c r="K6243" s="2210">
        <f>H6249</f>
        <v>0</v>
      </c>
      <c r="L6243" s="345" t="str">
        <f>IF(ROUND(K6242-K6243,2)=0,"F/S",ROUND(K6242-K6243,2))</f>
        <v>F/S</v>
      </c>
      <c r="M6243" s="532" t="s">
        <v>4713</v>
      </c>
      <c r="N6243" s="3081"/>
      <c r="O6243" s="315"/>
      <c r="P6243" s="301"/>
      <c r="S6243" s="364"/>
      <c r="Z6243" s="609" t="s">
        <v>2063</v>
      </c>
      <c r="AA6243" s="609"/>
    </row>
    <row r="6244" spans="1:27" ht="0.75" customHeight="1" thickBot="1">
      <c r="A6244" s="2714"/>
      <c r="B6244" s="371"/>
      <c r="C6244" s="371"/>
      <c r="D6244" s="371"/>
      <c r="F6244" s="294"/>
      <c r="G6244" s="294" t="s">
        <v>4859</v>
      </c>
      <c r="H6244" s="294" t="s">
        <v>3472</v>
      </c>
      <c r="I6244" s="294" t="s">
        <v>2821</v>
      </c>
      <c r="J6244" s="291"/>
      <c r="K6244" s="291"/>
      <c r="L6244" s="291"/>
      <c r="M6244" s="291"/>
      <c r="S6244" s="364"/>
      <c r="Z6244" s="609" t="s">
        <v>2063</v>
      </c>
      <c r="AA6244" s="609"/>
    </row>
    <row r="6245" spans="1:27" ht="18">
      <c r="A6245" s="2714"/>
      <c r="B6245" s="371"/>
      <c r="C6245" s="371"/>
      <c r="D6245" s="371"/>
      <c r="E6245" s="2716" t="s">
        <v>2749</v>
      </c>
      <c r="F6245" s="294"/>
      <c r="G6245" s="1564" t="s">
        <v>47</v>
      </c>
      <c r="H6245" s="1565" t="s">
        <v>2587</v>
      </c>
      <c r="I6245" s="1566" t="s">
        <v>2508</v>
      </c>
      <c r="J6245" s="291"/>
      <c r="K6245" s="291"/>
      <c r="L6245" s="291"/>
      <c r="M6245" s="291"/>
      <c r="S6245" s="364"/>
      <c r="Z6245" s="609" t="s">
        <v>2063</v>
      </c>
      <c r="AA6245" s="609"/>
    </row>
    <row r="6246" spans="1:27" ht="18">
      <c r="A6246" s="2714"/>
      <c r="B6246" s="371">
        <v>101</v>
      </c>
      <c r="C6246" s="371" t="s">
        <v>2791</v>
      </c>
      <c r="D6246" s="2716">
        <f>IF(OR(G6246="*",G6246="",G6246=0),0,COUNTIF($G$6246:$G$6249,G6246))</f>
        <v>0</v>
      </c>
      <c r="E6246" s="2721">
        <v>1</v>
      </c>
      <c r="F6246" s="294"/>
      <c r="G6246" s="1563" t="s">
        <v>2792</v>
      </c>
      <c r="H6246" s="309"/>
      <c r="I6246" s="388"/>
      <c r="J6246" s="291"/>
      <c r="K6246" s="291"/>
      <c r="L6246" s="291"/>
      <c r="M6246" s="291"/>
      <c r="S6246" s="364"/>
      <c r="Z6246" s="609" t="s">
        <v>2063</v>
      </c>
      <c r="AA6246" s="609"/>
    </row>
    <row r="6247" spans="1:27" ht="18">
      <c r="A6247" s="2714"/>
      <c r="B6247" s="371">
        <v>102</v>
      </c>
      <c r="C6247" s="371" t="s">
        <v>2791</v>
      </c>
      <c r="D6247" s="2716">
        <f>IF(OR(G6247="*",G6247="",G6247=0),0,COUNTIF($G$6246:$G$6249,G6247))</f>
        <v>0</v>
      </c>
      <c r="E6247" s="2721">
        <v>1</v>
      </c>
      <c r="F6247" s="294"/>
      <c r="G6247" s="1563" t="s">
        <v>2792</v>
      </c>
      <c r="H6247" s="309"/>
      <c r="I6247" s="388"/>
      <c r="J6247" s="291"/>
      <c r="K6247" s="291"/>
      <c r="L6247" s="291"/>
      <c r="M6247" s="291"/>
      <c r="S6247" s="364"/>
      <c r="Z6247" s="609" t="s">
        <v>2063</v>
      </c>
      <c r="AA6247" s="609"/>
    </row>
    <row r="6248" spans="1:27" ht="18">
      <c r="A6248" s="2714"/>
      <c r="B6248" s="371">
        <v>103</v>
      </c>
      <c r="C6248" s="371" t="s">
        <v>2791</v>
      </c>
      <c r="D6248" s="2716">
        <f>IF(OR(G6248="*",G6248="",G6248=0),0,COUNTIF($G$6246:$G$6249,G6248))</f>
        <v>0</v>
      </c>
      <c r="E6248" s="2721">
        <v>1</v>
      </c>
      <c r="F6248" s="294"/>
      <c r="G6248" s="1563" t="s">
        <v>2792</v>
      </c>
      <c r="H6248" s="309"/>
      <c r="I6248" s="388"/>
      <c r="J6248" s="291"/>
      <c r="K6248" s="291"/>
      <c r="L6248" s="291"/>
      <c r="M6248" s="291"/>
      <c r="S6248" s="364"/>
      <c r="Z6248" s="609" t="s">
        <v>2063</v>
      </c>
      <c r="AA6248" s="609"/>
    </row>
    <row r="6249" spans="1:27" ht="18.75" thickBot="1">
      <c r="A6249" s="2714"/>
      <c r="B6249" s="371"/>
      <c r="C6249" s="371"/>
      <c r="D6249" s="2716">
        <f>IF(OR(G6249="*",G6249="",G6249=0),0,COUNTIF($G$6246:$G$6249,G6249))</f>
        <v>1</v>
      </c>
      <c r="E6249" s="2721" t="s">
        <v>2751</v>
      </c>
      <c r="F6249" s="294"/>
      <c r="G6249" s="1529" t="s">
        <v>2752</v>
      </c>
      <c r="H6249" s="1527">
        <f>SUMPRODUCT($E6245:$E6248,H6245:H6248)</f>
        <v>0</v>
      </c>
      <c r="I6249" s="1571"/>
      <c r="J6249" s="291"/>
      <c r="K6249" s="291"/>
      <c r="L6249" s="291"/>
      <c r="M6249" s="291"/>
      <c r="S6249" s="364"/>
      <c r="Z6249" s="609" t="s">
        <v>2063</v>
      </c>
      <c r="AA6249" s="609"/>
    </row>
    <row r="6250" spans="1:27" ht="18">
      <c r="A6250" s="2714"/>
      <c r="B6250" s="371"/>
      <c r="C6250" s="371" t="s">
        <v>2755</v>
      </c>
      <c r="D6250" s="371"/>
      <c r="F6250" s="294"/>
      <c r="G6250" s="301"/>
      <c r="H6250" s="315"/>
      <c r="I6250" s="393"/>
      <c r="J6250" s="291"/>
      <c r="K6250" s="291"/>
      <c r="L6250" s="291"/>
      <c r="M6250" s="291"/>
      <c r="S6250" s="364"/>
      <c r="Z6250" s="609" t="s">
        <v>2063</v>
      </c>
      <c r="AA6250" s="609"/>
    </row>
    <row r="6251" spans="1:27" ht="12.75" thickBot="1">
      <c r="S6251" s="364"/>
    </row>
    <row r="6252" spans="1:27">
      <c r="A6252" s="2718"/>
      <c r="B6252" s="2718"/>
      <c r="C6252" s="2718"/>
      <c r="D6252" s="2718"/>
      <c r="E6252" s="2722"/>
      <c r="F6252" s="633"/>
      <c r="G6252" s="634"/>
      <c r="H6252" s="634"/>
      <c r="I6252" s="634"/>
      <c r="J6252" s="634"/>
      <c r="K6252" s="634"/>
      <c r="L6252" s="634"/>
      <c r="M6252" s="634"/>
      <c r="N6252" s="634"/>
      <c r="O6252" s="634"/>
      <c r="P6252" s="634"/>
      <c r="Q6252" s="634"/>
      <c r="R6252" s="634"/>
    </row>
    <row r="6253" spans="1:27" ht="18">
      <c r="A6253" s="2719"/>
      <c r="F6253" s="635" t="s">
        <v>3002</v>
      </c>
      <c r="G6253" s="2507" t="s">
        <v>2661</v>
      </c>
      <c r="H6253" s="2508"/>
      <c r="I6253" s="2509"/>
      <c r="J6253" s="2509"/>
      <c r="K6253" s="2509"/>
      <c r="L6253" s="2509"/>
      <c r="M6253" s="2509"/>
      <c r="N6253" s="2509"/>
      <c r="O6253" s="2509"/>
      <c r="P6253" s="532" t="s">
        <v>4860</v>
      </c>
    </row>
    <row r="6254" spans="1:27" ht="18">
      <c r="A6254" s="2719"/>
      <c r="G6254" s="2510" t="s">
        <v>4861</v>
      </c>
      <c r="H6254" s="2508"/>
      <c r="I6254" s="2508"/>
      <c r="J6254" s="2508"/>
      <c r="K6254" s="2508"/>
      <c r="L6254" s="2510" t="s">
        <v>2533</v>
      </c>
      <c r="M6254" s="2509"/>
      <c r="N6254" s="2509"/>
      <c r="O6254" s="2510" t="s">
        <v>4862</v>
      </c>
    </row>
    <row r="6255" spans="1:27" ht="18">
      <c r="A6255" s="2719"/>
      <c r="E6255" s="2723"/>
      <c r="L6255" s="636"/>
      <c r="O6255" s="636"/>
    </row>
    <row r="6256" spans="1:27" ht="18">
      <c r="A6256" s="2719"/>
      <c r="E6256" s="2723"/>
      <c r="L6256" s="636"/>
      <c r="O6256" s="636"/>
    </row>
    <row r="6257" spans="1:15" ht="18">
      <c r="A6257" s="2719"/>
      <c r="E6257" s="2723"/>
      <c r="L6257" s="636"/>
      <c r="O6257" s="636"/>
    </row>
  </sheetData>
  <sheetProtection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80:Q5581"/>
    <mergeCell ref="R2466:R2467"/>
    <mergeCell ref="R5580:R5581"/>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80:K5280"/>
    <mergeCell ref="J5295:K5295"/>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50:G5751"/>
    <mergeCell ref="K3178:L3178"/>
    <mergeCell ref="K3191:L3191"/>
    <mergeCell ref="K3203:L3203"/>
    <mergeCell ref="J3216:K3216"/>
    <mergeCell ref="H3178:H3179"/>
    <mergeCell ref="G5572:G5573"/>
    <mergeCell ref="G5358:G5359"/>
    <mergeCell ref="G5374:G5375"/>
    <mergeCell ref="G5390:G5391"/>
    <mergeCell ref="G5424:G5425"/>
    <mergeCell ref="G5459:G5460"/>
    <mergeCell ref="G4343:G4344"/>
    <mergeCell ref="G4370:G4371"/>
    <mergeCell ref="G4395:G4396"/>
    <mergeCell ref="G4491:G4492"/>
    <mergeCell ref="G4519:G4520"/>
    <mergeCell ref="G4543:G4544"/>
    <mergeCell ref="G4566:G4567"/>
    <mergeCell ref="G3203:G3204"/>
    <mergeCell ref="I3191:J3191"/>
    <mergeCell ref="I3203:J3203"/>
    <mergeCell ref="L5280:L5281"/>
    <mergeCell ref="G5341:G5342"/>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80:I5281"/>
    <mergeCell ref="I5295:I5296"/>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5:L5296"/>
    <mergeCell ref="M3191:M3192"/>
    <mergeCell ref="G5324:G5325"/>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80:G5281"/>
    <mergeCell ref="H5295:H5296"/>
    <mergeCell ref="G5295:G5296"/>
    <mergeCell ref="I4395:M4395"/>
    <mergeCell ref="H4236:H4237"/>
    <mergeCell ref="H4311:H4312"/>
    <mergeCell ref="H4370:H4371"/>
    <mergeCell ref="H4320:I4320"/>
    <mergeCell ref="G5580:G5581"/>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80:J5581"/>
    <mergeCell ref="J4519:K4519"/>
    <mergeCell ref="H4491:I4491"/>
    <mergeCell ref="J4491:K4491"/>
    <mergeCell ref="J4370:J4371"/>
    <mergeCell ref="H4343:I4343"/>
    <mergeCell ref="G3046:G3047"/>
    <mergeCell ref="G3178:G3179"/>
    <mergeCell ref="G3191:G3192"/>
    <mergeCell ref="H5580:H5581"/>
    <mergeCell ref="H5280:H5281"/>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50:L5750"/>
    <mergeCell ref="H5324:L5324"/>
    <mergeCell ref="H5341:L5341"/>
    <mergeCell ref="H5358:M5358"/>
    <mergeCell ref="H5374:M5374"/>
    <mergeCell ref="H5750:H5751"/>
    <mergeCell ref="I5750:J5750"/>
    <mergeCell ref="H5390:J5390"/>
    <mergeCell ref="H5424:J5424"/>
    <mergeCell ref="H5459:K5459"/>
    <mergeCell ref="K5580:L5580"/>
    <mergeCell ref="M5580:P5580"/>
    <mergeCell ref="I5580:I5581"/>
    <mergeCell ref="H5505:K5505"/>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5:G5506"/>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3" priority="2819" stopIfTrue="1" operator="equal">
      <formula>0</formula>
    </cfRule>
    <cfRule type="cellIs" dxfId="3842" priority="2820" stopIfTrue="1" operator="notEqual">
      <formula>0</formula>
    </cfRule>
  </conditionalFormatting>
  <conditionalFormatting sqref="P7">
    <cfRule type="cellIs" dxfId="3841" priority="2813" stopIfTrue="1" operator="equal">
      <formula>0</formula>
    </cfRule>
    <cfRule type="cellIs" dxfId="3840" priority="2814" stopIfTrue="1" operator="notEqual">
      <formula>0</formula>
    </cfRule>
  </conditionalFormatting>
  <conditionalFormatting sqref="Q90 Q1520:Q1526 Q2001:Q2012 Q5623:Q5648 Q5747:Q5774 Q1799:Q1810 Q698:Q705 Q2648:Q2650 Q71:Q88 Q1869:Q1945 Q5387 Q5421:Q5454 Q2191:Q2200 Q4096:Q4105 Q910 Q2412:Q2462 Q1027:Q1218 Q890 Q1853 Q2063 Q2218:Q2233 Q2315 Q2330:Q2348 Q792:Q850 Q688 Q170:Q315 Q500 Q430:Q485 Q1469:Q1509 Q1307:Q1365 Q1387 Q1409 Q1428 Q1449 Q1459 Q1607 Q1655 Q1665 Q1736 Q2652:Q2705 Q2719 Q2733 Q2748:Q2760 Q1764 Q2368 Q3359 Q4040 Q5776:Q5804 Q5502 Q5550:Q5558 Q5277 Q5292:Q5319 Q721:Q777 Q2079 Q2092 Q2105 Q2118:Q2136">
    <cfRule type="expression" dxfId="3839" priority="4238" stopIfTrue="1">
      <formula>$Q71="请输入"</formula>
    </cfRule>
  </conditionalFormatting>
  <conditionalFormatting sqref="I109 I5603 I5277 I5292 I5307 I5623 I5636 I5649 I5659 I5669 I5679 I5689 I5699 I5709 I5719 I5729 I5739 I5747 I5762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8" priority="2475" stopIfTrue="1">
      <formula>$I109="适用"</formula>
    </cfRule>
    <cfRule type="expression" dxfId="3837" priority="2476" stopIfTrue="1">
      <formula>$I109="不适用"</formula>
    </cfRule>
  </conditionalFormatting>
  <conditionalFormatting sqref="I317">
    <cfRule type="expression" dxfId="3836" priority="945" stopIfTrue="1">
      <formula>$I317="适用"</formula>
    </cfRule>
    <cfRule type="expression" dxfId="3835" priority="946" stopIfTrue="1">
      <formula>$I317="不适用"</formula>
    </cfRule>
  </conditionalFormatting>
  <conditionalFormatting sqref="I334">
    <cfRule type="expression" dxfId="3834" priority="939" stopIfTrue="1">
      <formula>$I334="适用"</formula>
    </cfRule>
    <cfRule type="expression" dxfId="3833" priority="940" stopIfTrue="1">
      <formula>$I334="不适用"</formula>
    </cfRule>
  </conditionalFormatting>
  <conditionalFormatting sqref="I356">
    <cfRule type="expression" dxfId="3832" priority="933" stopIfTrue="1">
      <formula>$I356="适用"</formula>
    </cfRule>
    <cfRule type="expression" dxfId="3831" priority="934" stopIfTrue="1">
      <formula>$I356="不适用"</formula>
    </cfRule>
  </conditionalFormatting>
  <conditionalFormatting sqref="I378">
    <cfRule type="expression" dxfId="3830" priority="927" stopIfTrue="1">
      <formula>$I378="适用"</formula>
    </cfRule>
    <cfRule type="expression" dxfId="3829" priority="928" stopIfTrue="1">
      <formula>$I378="不适用"</formula>
    </cfRule>
  </conditionalFormatting>
  <conditionalFormatting sqref="I400">
    <cfRule type="expression" dxfId="3828" priority="917" stopIfTrue="1">
      <formula>$I400="适用"</formula>
    </cfRule>
    <cfRule type="expression" dxfId="3827" priority="918" stopIfTrue="1">
      <formula>$I400="不适用"</formula>
    </cfRule>
  </conditionalFormatting>
  <conditionalFormatting sqref="Q515">
    <cfRule type="expression" dxfId="3826" priority="4247" stopIfTrue="1">
      <formula>$Q515="请输入"</formula>
    </cfRule>
  </conditionalFormatting>
  <conditionalFormatting sqref="G525 G93:G106 G1414:G1419 G893:G898 G2602:G2616 G4043:G4048 G1815:G1820 G1804:G1809 G1496:G1508 G2653:G2696 G490:G498 G4867:G4875 G4636:G4639 G5310:G5318 G5213:G5274 G5282:G5290 G4903:G4912 G5352:G5353 G5124:G5127 G4642:G4650">
    <cfRule type="expression" dxfId="3825" priority="924">
      <formula>$D93&gt;1</formula>
    </cfRule>
    <cfRule type="expression" dxfId="3824" priority="925">
      <formula>$C93="%IN"</formula>
    </cfRule>
    <cfRule type="expression" dxfId="3823" priority="926" stopIfTrue="1">
      <formula>$E93=0</formula>
    </cfRule>
  </conditionalFormatting>
  <conditionalFormatting sqref="Q535">
    <cfRule type="expression" dxfId="3822" priority="4248" stopIfTrue="1">
      <formula>$Q535="请输入"</formula>
    </cfRule>
  </conditionalFormatting>
  <conditionalFormatting sqref="I579">
    <cfRule type="expression" dxfId="3821" priority="911" stopIfTrue="1">
      <formula>$I579="适用"</formula>
    </cfRule>
    <cfRule type="expression" dxfId="3820" priority="912" stopIfTrue="1">
      <formula>$I579="不适用"</formula>
    </cfRule>
  </conditionalFormatting>
  <conditionalFormatting sqref="Q601">
    <cfRule type="expression" dxfId="3819" priority="4252" stopIfTrue="1">
      <formula>$Q601="请输入"</formula>
    </cfRule>
  </conditionalFormatting>
  <conditionalFormatting sqref="I611">
    <cfRule type="expression" dxfId="3818" priority="908" stopIfTrue="1">
      <formula>$I611="适用"</formula>
    </cfRule>
    <cfRule type="expression" dxfId="3817" priority="909" stopIfTrue="1">
      <formula>$I611="不适用"</formula>
    </cfRule>
  </conditionalFormatting>
  <conditionalFormatting sqref="Q618">
    <cfRule type="expression" dxfId="3816" priority="4253" stopIfTrue="1">
      <formula>$Q618="请输入"</formula>
    </cfRule>
  </conditionalFormatting>
  <conditionalFormatting sqref="G3362:G3367 G1767:G1772 G505:G513 G1370:G1378 G1392:G1400 G5606:G5620 G5692:G5697 G5712:G5717 G5732:G5737 G5742:G5744 G4753:G4763 G5132:G5136 G4881:G4897 G5151:G5156 G5141:G5146 G4962:G4965 G4666:G4681">
    <cfRule type="expression" dxfId="3815" priority="901" stopIfTrue="1">
      <formula>$D505&gt;1</formula>
    </cfRule>
    <cfRule type="expression" dxfId="3814" priority="902" stopIfTrue="1">
      <formula>$C505="%IN"</formula>
    </cfRule>
  </conditionalFormatting>
  <conditionalFormatting sqref="Q629">
    <cfRule type="expression" dxfId="3813" priority="4254" stopIfTrue="1">
      <formula>$Q629="请输入"</formula>
    </cfRule>
  </conditionalFormatting>
  <conditionalFormatting sqref="Q648">
    <cfRule type="expression" dxfId="3812" priority="4255" stopIfTrue="1">
      <formula>$Q648="请输入"</formula>
    </cfRule>
  </conditionalFormatting>
  <conditionalFormatting sqref="Q658">
    <cfRule type="expression" dxfId="3811" priority="4256" stopIfTrue="1">
      <formula>$Q658="请输入"</formula>
    </cfRule>
  </conditionalFormatting>
  <conditionalFormatting sqref="Q668">
    <cfRule type="expression" dxfId="3810" priority="4258" stopIfTrue="1">
      <formula>$Q668="请输入"</formula>
    </cfRule>
  </conditionalFormatting>
  <conditionalFormatting sqref="Q678">
    <cfRule type="expression" dxfId="3809" priority="4259" stopIfTrue="1">
      <formula>$Q678="请输入"</formula>
    </cfRule>
  </conditionalFormatting>
  <conditionalFormatting sqref="I698">
    <cfRule type="expression" dxfId="3808" priority="1015" stopIfTrue="1">
      <formula>$I698="适用"</formula>
    </cfRule>
    <cfRule type="expression" dxfId="3807" priority="1016" stopIfTrue="1">
      <formula>$I698="不适用"</formula>
    </cfRule>
  </conditionalFormatting>
  <conditionalFormatting sqref="I706">
    <cfRule type="expression" dxfId="3806" priority="1012" stopIfTrue="1">
      <formula>$I706="适用"</formula>
    </cfRule>
    <cfRule type="expression" dxfId="3805" priority="1013" stopIfTrue="1">
      <formula>$I706="不适用"</formula>
    </cfRule>
  </conditionalFormatting>
  <conditionalFormatting sqref="I721">
    <cfRule type="expression" dxfId="3804" priority="1009" stopIfTrue="1">
      <formula>$I721="适用"</formula>
    </cfRule>
    <cfRule type="expression" dxfId="3803" priority="1010" stopIfTrue="1">
      <formula>$I721="不适用"</formula>
    </cfRule>
  </conditionalFormatting>
  <conditionalFormatting sqref="I740">
    <cfRule type="expression" dxfId="3802" priority="1006" stopIfTrue="1">
      <formula>$I740="适用"</formula>
    </cfRule>
    <cfRule type="expression" dxfId="3801" priority="1007" stopIfTrue="1">
      <formula>$I740="不适用"</formula>
    </cfRule>
  </conditionalFormatting>
  <conditionalFormatting sqref="I848">
    <cfRule type="expression" dxfId="3800" priority="1003" stopIfTrue="1">
      <formula>$I848="适用"</formula>
    </cfRule>
    <cfRule type="expression" dxfId="3799" priority="1004" stopIfTrue="1">
      <formula>$I848="不适用"</formula>
    </cfRule>
  </conditionalFormatting>
  <conditionalFormatting sqref="Q859">
    <cfRule type="expression" dxfId="3798" priority="4260" stopIfTrue="1">
      <formula>$Q859="请输入"</formula>
    </cfRule>
  </conditionalFormatting>
  <conditionalFormatting sqref="Q871">
    <cfRule type="expression" dxfId="3797" priority="4262" stopIfTrue="1">
      <formula>$Q871="请输入"</formula>
    </cfRule>
  </conditionalFormatting>
  <conditionalFormatting sqref="I900">
    <cfRule type="expression" dxfId="3796" priority="1435" stopIfTrue="1">
      <formula>$I900="适用"</formula>
    </cfRule>
    <cfRule type="expression" dxfId="3795" priority="1436" stopIfTrue="1">
      <formula>$I900="不适用"</formula>
    </cfRule>
  </conditionalFormatting>
  <conditionalFormatting sqref="I934">
    <cfRule type="expression" dxfId="3794" priority="1118" stopIfTrue="1">
      <formula>$I934="适用"</formula>
    </cfRule>
    <cfRule type="expression" dxfId="3793" priority="1119" stopIfTrue="1">
      <formula>$I934="不适用"</formula>
    </cfRule>
  </conditionalFormatting>
  <conditionalFormatting sqref="Q944">
    <cfRule type="expression" dxfId="3792" priority="4267" stopIfTrue="1">
      <formula>$Q944="请输入"</formula>
    </cfRule>
  </conditionalFormatting>
  <conditionalFormatting sqref="Q956">
    <cfRule type="expression" dxfId="3791" priority="4268" stopIfTrue="1">
      <formula>$Q956="请输入"</formula>
    </cfRule>
  </conditionalFormatting>
  <conditionalFormatting sqref="Q967">
    <cfRule type="expression" dxfId="3790" priority="4269" stopIfTrue="1">
      <formula>$Q967="请输入"</formula>
    </cfRule>
  </conditionalFormatting>
  <conditionalFormatting sqref="I977">
    <cfRule type="expression" dxfId="3789" priority="2461" stopIfTrue="1">
      <formula>$I977="适用"</formula>
    </cfRule>
    <cfRule type="expression" dxfId="3788" priority="2462" stopIfTrue="1">
      <formula>$I977="不适用"</formula>
    </cfRule>
  </conditionalFormatting>
  <conditionalFormatting sqref="Q977">
    <cfRule type="expression" dxfId="3787" priority="4270" stopIfTrue="1">
      <formula>$Q977="请输入"</formula>
    </cfRule>
  </conditionalFormatting>
  <conditionalFormatting sqref="I1043">
    <cfRule type="expression" dxfId="3786" priority="980" stopIfTrue="1">
      <formula>$I1043="适用"</formula>
    </cfRule>
    <cfRule type="expression" dxfId="3785" priority="981" stopIfTrue="1">
      <formula>$I1043="不适用"</formula>
    </cfRule>
  </conditionalFormatting>
  <conditionalFormatting sqref="I1219">
    <cfRule type="expression" dxfId="3784" priority="974" stopIfTrue="1">
      <formula>$I1219="适用"</formula>
    </cfRule>
    <cfRule type="expression" dxfId="3783" priority="975" stopIfTrue="1">
      <formula>$I1219="不适用"</formula>
    </cfRule>
  </conditionalFormatting>
  <conditionalFormatting sqref="Q1510">
    <cfRule type="expression" dxfId="3782" priority="4278" stopIfTrue="1">
      <formula>$Q1510="请输入"</formula>
    </cfRule>
  </conditionalFormatting>
  <conditionalFormatting sqref="I1520">
    <cfRule type="expression" dxfId="3781" priority="950" stopIfTrue="1">
      <formula>$I1520="适用"</formula>
    </cfRule>
    <cfRule type="expression" dxfId="3780" priority="951" stopIfTrue="1">
      <formula>$I1520="不适用"</formula>
    </cfRule>
  </conditionalFormatting>
  <conditionalFormatting sqref="Q1527">
    <cfRule type="expression" dxfId="3779" priority="4279" stopIfTrue="1">
      <formula>$Q1527="请输入"</formula>
    </cfRule>
  </conditionalFormatting>
  <conditionalFormatting sqref="Q1538">
    <cfRule type="expression" dxfId="3778" priority="4281" stopIfTrue="1">
      <formula>$Q1538="请输入"</formula>
    </cfRule>
  </conditionalFormatting>
  <conditionalFormatting sqref="Q1557">
    <cfRule type="expression" dxfId="3777" priority="4282" stopIfTrue="1">
      <formula>$Q1557="请输入"</formula>
    </cfRule>
  </conditionalFormatting>
  <conditionalFormatting sqref="Q1567">
    <cfRule type="expression" dxfId="3776" priority="4283" stopIfTrue="1">
      <formula>$Q1567="请输入"</formula>
    </cfRule>
  </conditionalFormatting>
  <conditionalFormatting sqref="Q1577">
    <cfRule type="expression" dxfId="3775" priority="4284" stopIfTrue="1">
      <formula>$Q1577="请输入"</formula>
    </cfRule>
  </conditionalFormatting>
  <conditionalFormatting sqref="Q1587">
    <cfRule type="expression" dxfId="3774" priority="4286" stopIfTrue="1">
      <formula>$Q1587="请输入"</formula>
    </cfRule>
  </conditionalFormatting>
  <conditionalFormatting sqref="Q1597">
    <cfRule type="expression" dxfId="3773" priority="4287" stopIfTrue="1">
      <formula>$Q1597="请输入"</formula>
    </cfRule>
  </conditionalFormatting>
  <conditionalFormatting sqref="Q1617">
    <cfRule type="expression" dxfId="3772" priority="4288" stopIfTrue="1">
      <formula>$Q1617="请输入"</formula>
    </cfRule>
  </conditionalFormatting>
  <conditionalFormatting sqref="Q1636">
    <cfRule type="expression" dxfId="3771" priority="4289" stopIfTrue="1">
      <formula>$Q1636="请输入"</formula>
    </cfRule>
  </conditionalFormatting>
  <conditionalFormatting sqref="Q1682">
    <cfRule type="expression" dxfId="3770" priority="4292" stopIfTrue="1">
      <formula>$Q1682="请输入"</formula>
    </cfRule>
  </conditionalFormatting>
  <conditionalFormatting sqref="Q1699">
    <cfRule type="expression" dxfId="3769" priority="4293" stopIfTrue="1">
      <formula>$Q1699="请输入"</formula>
    </cfRule>
  </conditionalFormatting>
  <conditionalFormatting sqref="Q1716">
    <cfRule type="expression" dxfId="3768" priority="4294" stopIfTrue="1">
      <formula>$Q1716="请输入"</formula>
    </cfRule>
  </conditionalFormatting>
  <conditionalFormatting sqref="I1753">
    <cfRule type="expression" dxfId="3767" priority="1429" stopIfTrue="1">
      <formula>$I1753="适用"</formula>
    </cfRule>
    <cfRule type="expression" dxfId="3766" priority="1430" stopIfTrue="1">
      <formula>$I1753="不适用"</formula>
    </cfRule>
  </conditionalFormatting>
  <conditionalFormatting sqref="Q1753">
    <cfRule type="expression" dxfId="3765" priority="4297" stopIfTrue="1">
      <formula>$Q1753="请输入"</formula>
    </cfRule>
  </conditionalFormatting>
  <conditionalFormatting sqref="I1790">
    <cfRule type="expression" dxfId="3764" priority="2397" stopIfTrue="1">
      <formula>$I1790="适用"</formula>
    </cfRule>
    <cfRule type="expression" dxfId="3763" priority="2398" stopIfTrue="1">
      <formula>$I1790="不适用"</formula>
    </cfRule>
  </conditionalFormatting>
  <conditionalFormatting sqref="Q1790">
    <cfRule type="expression" dxfId="3762" priority="4303" stopIfTrue="1">
      <formula>$Q1790="请输入"</formula>
    </cfRule>
  </conditionalFormatting>
  <conditionalFormatting sqref="I1799">
    <cfRule type="expression" dxfId="3761" priority="887" stopIfTrue="1">
      <formula>$I1799="适用"</formula>
    </cfRule>
    <cfRule type="expression" dxfId="3760" priority="888" stopIfTrue="1">
      <formula>$I1799="不适用"</formula>
    </cfRule>
  </conditionalFormatting>
  <conditionalFormatting sqref="Q1812">
    <cfRule type="expression" dxfId="3759" priority="4304" stopIfTrue="1">
      <formula>$Q1812="请输入"</formula>
    </cfRule>
  </conditionalFormatting>
  <conditionalFormatting sqref="I1823">
    <cfRule type="expression" dxfId="3758" priority="884" stopIfTrue="1">
      <formula>$I1823="适用"</formula>
    </cfRule>
    <cfRule type="expression" dxfId="3757" priority="885" stopIfTrue="1">
      <formula>$I1823="不适用"</formula>
    </cfRule>
  </conditionalFormatting>
  <conditionalFormatting sqref="I1838">
    <cfRule type="expression" dxfId="3756" priority="881" stopIfTrue="1">
      <formula>$I1838="适用"</formula>
    </cfRule>
    <cfRule type="expression" dxfId="3755" priority="882" stopIfTrue="1">
      <formula>$I1838="不适用"</formula>
    </cfRule>
  </conditionalFormatting>
  <conditionalFormatting sqref="I1853">
    <cfRule type="expression" dxfId="3754" priority="878" stopIfTrue="1">
      <formula>$I1853="适用"</formula>
    </cfRule>
    <cfRule type="expression" dxfId="3753" priority="879" stopIfTrue="1">
      <formula>$I1853="不适用"</formula>
    </cfRule>
  </conditionalFormatting>
  <conditionalFormatting sqref="I1927">
    <cfRule type="expression" dxfId="3752" priority="863" stopIfTrue="1">
      <formula>$I1927="适用"</formula>
    </cfRule>
    <cfRule type="expression" dxfId="3751" priority="864" stopIfTrue="1">
      <formula>$I1927="不适用"</formula>
    </cfRule>
  </conditionalFormatting>
  <conditionalFormatting sqref="Q1947">
    <cfRule type="expression" dxfId="3750" priority="4305" stopIfTrue="1">
      <formula>$Q1947="请输入"</formula>
    </cfRule>
  </conditionalFormatting>
  <conditionalFormatting sqref="I1961">
    <cfRule type="expression" dxfId="3749" priority="2389" stopIfTrue="1">
      <formula>$I1961="适用"</formula>
    </cfRule>
    <cfRule type="expression" dxfId="3748" priority="2390" stopIfTrue="1">
      <formula>$I1961="不适用"</formula>
    </cfRule>
  </conditionalFormatting>
  <conditionalFormatting sqref="Q1961">
    <cfRule type="expression" dxfId="3747" priority="4306" stopIfTrue="1">
      <formula>$Q1961="请输入"</formula>
    </cfRule>
  </conditionalFormatting>
  <conditionalFormatting sqref="I1971">
    <cfRule type="expression" dxfId="3746" priority="830" stopIfTrue="1">
      <formula>$I1971="适用"</formula>
    </cfRule>
    <cfRule type="expression" dxfId="3745" priority="831" stopIfTrue="1">
      <formula>$I1971="不适用"</formula>
    </cfRule>
  </conditionalFormatting>
  <conditionalFormatting sqref="I1986">
    <cfRule type="expression" dxfId="3744" priority="827" stopIfTrue="1">
      <formula>$I1986="适用"</formula>
    </cfRule>
    <cfRule type="expression" dxfId="3743" priority="828" stopIfTrue="1">
      <formula>$I1986="不适用"</formula>
    </cfRule>
  </conditionalFormatting>
  <conditionalFormatting sqref="I2001">
    <cfRule type="expression" dxfId="3742" priority="824" stopIfTrue="1">
      <formula>$I2001="适用"</formula>
    </cfRule>
    <cfRule type="expression" dxfId="3741" priority="825" stopIfTrue="1">
      <formula>$I2001="不适用"</formula>
    </cfRule>
  </conditionalFormatting>
  <conditionalFormatting sqref="Q2013">
    <cfRule type="expression" dxfId="3740" priority="4308" stopIfTrue="1">
      <formula>$Q2013="请输入"</formula>
    </cfRule>
  </conditionalFormatting>
  <conditionalFormatting sqref="I2021">
    <cfRule type="expression" dxfId="3739" priority="2373" stopIfTrue="1">
      <formula>$I2021="适用"</formula>
    </cfRule>
    <cfRule type="expression" dxfId="3738" priority="2374" stopIfTrue="1">
      <formula>$I2021="不适用"</formula>
    </cfRule>
  </conditionalFormatting>
  <conditionalFormatting sqref="Q2021">
    <cfRule type="expression" dxfId="3737" priority="4312" stopIfTrue="1">
      <formula>$Q2021="请输入"</formula>
    </cfRule>
  </conditionalFormatting>
  <conditionalFormatting sqref="I2032">
    <cfRule type="expression" dxfId="3736" priority="821" stopIfTrue="1">
      <formula>$I2032="适用"</formula>
    </cfRule>
    <cfRule type="expression" dxfId="3735" priority="822" stopIfTrue="1">
      <formula>$I2032="不适用"</formula>
    </cfRule>
  </conditionalFormatting>
  <conditionalFormatting sqref="I2048">
    <cfRule type="expression" dxfId="3734" priority="814" stopIfTrue="1">
      <formula>$I2048="适用"</formula>
    </cfRule>
    <cfRule type="expression" dxfId="3733" priority="815" stopIfTrue="1">
      <formula>$I2048="不适用"</formula>
    </cfRule>
  </conditionalFormatting>
  <conditionalFormatting sqref="I2063">
    <cfRule type="expression" dxfId="3732" priority="811" stopIfTrue="1">
      <formula>$I2063="适用"</formula>
    </cfRule>
    <cfRule type="expression" dxfId="3731" priority="812" stopIfTrue="1">
      <formula>$I2063="不适用"</formula>
    </cfRule>
  </conditionalFormatting>
  <conditionalFormatting sqref="I2137">
    <cfRule type="expression" dxfId="3730" priority="799" stopIfTrue="1">
      <formula>$I2137="适用"</formula>
    </cfRule>
    <cfRule type="expression" dxfId="3729" priority="800" stopIfTrue="1">
      <formula>$I2137="不适用"</formula>
    </cfRule>
  </conditionalFormatting>
  <conditionalFormatting sqref="Q2157">
    <cfRule type="expression" dxfId="3728" priority="4313" stopIfTrue="1">
      <formula>$Q2157="请输入"</formula>
    </cfRule>
  </conditionalFormatting>
  <conditionalFormatting sqref="I2171">
    <cfRule type="expression" dxfId="3727" priority="2363" stopIfTrue="1">
      <formula>$I2171="适用"</formula>
    </cfRule>
    <cfRule type="expression" dxfId="3726" priority="2364" stopIfTrue="1">
      <formula>$I2171="不适用"</formula>
    </cfRule>
  </conditionalFormatting>
  <conditionalFormatting sqref="Q2171">
    <cfRule type="expression" dxfId="3725" priority="4314" stopIfTrue="1">
      <formula>$Q2171="请输入"</formula>
    </cfRule>
  </conditionalFormatting>
  <conditionalFormatting sqref="I2181">
    <cfRule type="expression" dxfId="3724" priority="2357" stopIfTrue="1">
      <formula>$I2181="适用"</formula>
    </cfRule>
    <cfRule type="expression" dxfId="3723" priority="2358" stopIfTrue="1">
      <formula>$I2181="不适用"</formula>
    </cfRule>
  </conditionalFormatting>
  <conditionalFormatting sqref="Q2181">
    <cfRule type="expression" dxfId="3722" priority="4315" stopIfTrue="1">
      <formula>$Q2181="请输入"</formula>
    </cfRule>
  </conditionalFormatting>
  <conditionalFormatting sqref="Q2202">
    <cfRule type="expression" dxfId="3721" priority="4316" stopIfTrue="1">
      <formula>$Q2202="请输入"</formula>
    </cfRule>
  </conditionalFormatting>
  <conditionalFormatting sqref="I2234">
    <cfRule type="expression" dxfId="3720" priority="775" stopIfTrue="1">
      <formula>$I2234="适用"</formula>
    </cfRule>
    <cfRule type="expression" dxfId="3719" priority="776" stopIfTrue="1">
      <formula>$I2234="不适用"</formula>
    </cfRule>
  </conditionalFormatting>
  <conditionalFormatting sqref="I2247">
    <cfRule type="expression" dxfId="3718" priority="772" stopIfTrue="1">
      <formula>$I2247="适用"</formula>
    </cfRule>
    <cfRule type="expression" dxfId="3717" priority="773" stopIfTrue="1">
      <formula>$I2247="不适用"</formula>
    </cfRule>
  </conditionalFormatting>
  <conditionalFormatting sqref="I2260">
    <cfRule type="expression" dxfId="3716" priority="766" stopIfTrue="1">
      <formula>$I2260="适用"</formula>
    </cfRule>
    <cfRule type="expression" dxfId="3715" priority="767" stopIfTrue="1">
      <formula>$I2260="不适用"</formula>
    </cfRule>
  </conditionalFormatting>
  <conditionalFormatting sqref="I2273">
    <cfRule type="expression" dxfId="3714" priority="748" stopIfTrue="1">
      <formula>$I2273="适用"</formula>
    </cfRule>
    <cfRule type="expression" dxfId="3713" priority="749" stopIfTrue="1">
      <formula>$I2273="不适用"</formula>
    </cfRule>
  </conditionalFormatting>
  <conditionalFormatting sqref="I2293">
    <cfRule type="expression" dxfId="3712" priority="745" stopIfTrue="1">
      <formula>$I2293="适用"</formula>
    </cfRule>
    <cfRule type="expression" dxfId="3711" priority="746" stopIfTrue="1">
      <formula>$I2293="不适用"</formula>
    </cfRule>
  </conditionalFormatting>
  <conditionalFormatting sqref="I2349">
    <cfRule type="expression" dxfId="3710" priority="742" stopIfTrue="1">
      <formula>$I2349="适用"</formula>
    </cfRule>
    <cfRule type="expression" dxfId="3709" priority="743" stopIfTrue="1">
      <formula>$I2349="不适用"</formula>
    </cfRule>
  </conditionalFormatting>
  <conditionalFormatting sqref="I2378">
    <cfRule type="expression" dxfId="3708" priority="730" stopIfTrue="1">
      <formula>$I2378="适用"</formula>
    </cfRule>
    <cfRule type="expression" dxfId="3707" priority="731" stopIfTrue="1">
      <formula>$I2378="不适用"</formula>
    </cfRule>
  </conditionalFormatting>
  <conditionalFormatting sqref="I2391">
    <cfRule type="expression" dxfId="3706" priority="2760" stopIfTrue="1">
      <formula>$I2391="适用"</formula>
    </cfRule>
    <cfRule type="expression" dxfId="3705" priority="2761" stopIfTrue="1">
      <formula>$I2391="不适用"</formula>
    </cfRule>
  </conditionalFormatting>
  <conditionalFormatting sqref="Q2391">
    <cfRule type="expression" dxfId="3704" priority="4317" stopIfTrue="1">
      <formula>$Q2391="请输入"</formula>
    </cfRule>
  </conditionalFormatting>
  <conditionalFormatting sqref="I2401">
    <cfRule type="expression" dxfId="3703" priority="1967" stopIfTrue="1">
      <formula>$I2401="适用"</formula>
    </cfRule>
    <cfRule type="expression" dxfId="3702" priority="1968" stopIfTrue="1">
      <formula>$I2401="不适用"</formula>
    </cfRule>
  </conditionalFormatting>
  <conditionalFormatting sqref="Q2401">
    <cfRule type="expression" dxfId="3701" priority="4321" stopIfTrue="1">
      <formula>$Q2401="请输入"</formula>
    </cfRule>
  </conditionalFormatting>
  <conditionalFormatting sqref="I2497">
    <cfRule type="expression" dxfId="3700" priority="727" stopIfTrue="1">
      <formula>$I2497="适用"</formula>
    </cfRule>
    <cfRule type="expression" dxfId="3699" priority="728" stopIfTrue="1">
      <formula>$I2497="不适用"</formula>
    </cfRule>
  </conditionalFormatting>
  <conditionalFormatting sqref="I2506">
    <cfRule type="expression" dxfId="3698" priority="724" stopIfTrue="1">
      <formula>$I2506="适用"</formula>
    </cfRule>
    <cfRule type="expression" dxfId="3697" priority="725" stopIfTrue="1">
      <formula>$I2506="不适用"</formula>
    </cfRule>
  </conditionalFormatting>
  <conditionalFormatting sqref="I2520">
    <cfRule type="expression" dxfId="3696" priority="721" stopIfTrue="1">
      <formula>$I2520="适用"</formula>
    </cfRule>
    <cfRule type="expression" dxfId="3695" priority="722" stopIfTrue="1">
      <formula>$I2520="不适用"</formula>
    </cfRule>
  </conditionalFormatting>
  <conditionalFormatting sqref="Q2599">
    <cfRule type="expression" dxfId="3694" priority="4336" stopIfTrue="1">
      <formula>$Q2599="请输入"</formula>
    </cfRule>
  </conditionalFormatting>
  <conditionalFormatting sqref="Q2618">
    <cfRule type="expression" dxfId="3693" priority="4337" stopIfTrue="1">
      <formula>$Q2618="请输入"</formula>
    </cfRule>
  </conditionalFormatting>
  <conditionalFormatting sqref="I2639">
    <cfRule type="expression" dxfId="3692" priority="1113" stopIfTrue="1">
      <formula>$I2639="适用"</formula>
    </cfRule>
    <cfRule type="expression" dxfId="3691" priority="1114" stopIfTrue="1">
      <formula>$I2639="不适用"</formula>
    </cfRule>
  </conditionalFormatting>
  <conditionalFormatting sqref="Q2761">
    <cfRule type="expression" dxfId="3690" priority="4346" stopIfTrue="1">
      <formula>$Q2761="请输入"</formula>
    </cfRule>
  </conditionalFormatting>
  <conditionalFormatting sqref="I2781">
    <cfRule type="expression" dxfId="3689" priority="1421" stopIfTrue="1">
      <formula>$I2781="适用"</formula>
    </cfRule>
    <cfRule type="expression" dxfId="3688" priority="1422" stopIfTrue="1">
      <formula>$I2781="不适用"</formula>
    </cfRule>
  </conditionalFormatting>
  <conditionalFormatting sqref="I2797">
    <cfRule type="expression" dxfId="3687" priority="685" stopIfTrue="1">
      <formula>$I2797="适用"</formula>
    </cfRule>
    <cfRule type="expression" dxfId="3686" priority="686" stopIfTrue="1">
      <formula>$I2797="不适用"</formula>
    </cfRule>
  </conditionalFormatting>
  <conditionalFormatting sqref="I2821">
    <cfRule type="expression" dxfId="3685" priority="1108" stopIfTrue="1">
      <formula>$I2821="适用"</formula>
    </cfRule>
    <cfRule type="expression" dxfId="3684" priority="1109" stopIfTrue="1">
      <formula>$I2821="不适用"</formula>
    </cfRule>
  </conditionalFormatting>
  <conditionalFormatting sqref="Q2830">
    <cfRule type="expression" dxfId="3683" priority="4349" stopIfTrue="1">
      <formula>$Q2830="请输入"</formula>
    </cfRule>
  </conditionalFormatting>
  <conditionalFormatting sqref="Q2847">
    <cfRule type="expression" dxfId="3682" priority="4350" stopIfTrue="1">
      <formula>$Q2847="请输入"</formula>
    </cfRule>
  </conditionalFormatting>
  <conditionalFormatting sqref="Q2862">
    <cfRule type="expression" dxfId="3681" priority="4351" stopIfTrue="1">
      <formula>$Q2862="请输入"</formula>
    </cfRule>
  </conditionalFormatting>
  <conditionalFormatting sqref="I2877">
    <cfRule type="expression" dxfId="3680" priority="676" stopIfTrue="1">
      <formula>$I2877="适用"</formula>
    </cfRule>
    <cfRule type="expression" dxfId="3679" priority="677" stopIfTrue="1">
      <formula>$I2877="不适用"</formula>
    </cfRule>
  </conditionalFormatting>
  <conditionalFormatting sqref="Q2897">
    <cfRule type="expression" dxfId="3678" priority="4352" stopIfTrue="1">
      <formula>$Q2897="请输入"</formula>
    </cfRule>
  </conditionalFormatting>
  <conditionalFormatting sqref="I2908">
    <cfRule type="expression" dxfId="3677" priority="1080" stopIfTrue="1">
      <formula>$I2908="适用"</formula>
    </cfRule>
    <cfRule type="expression" dxfId="3676" priority="1081" stopIfTrue="1">
      <formula>$I2908="不适用"</formula>
    </cfRule>
  </conditionalFormatting>
  <conditionalFormatting sqref="I2920">
    <cfRule type="expression" dxfId="3675" priority="2089" stopIfTrue="1">
      <formula>$I2920="适用"</formula>
    </cfRule>
    <cfRule type="expression" dxfId="3674" priority="2090" stopIfTrue="1">
      <formula>$I2920="不适用"</formula>
    </cfRule>
  </conditionalFormatting>
  <conditionalFormatting sqref="Q2920">
    <cfRule type="expression" dxfId="3673" priority="4355" stopIfTrue="1">
      <formula>$Q2920="请输入"</formula>
    </cfRule>
  </conditionalFormatting>
  <conditionalFormatting sqref="Q2982">
    <cfRule type="expression" dxfId="3672" priority="4359" stopIfTrue="1">
      <formula>$Q2982="请输入"</formula>
    </cfRule>
  </conditionalFormatting>
  <conditionalFormatting sqref="I3006">
    <cfRule type="expression" dxfId="3671" priority="673" stopIfTrue="1">
      <formula>$I3006="适用"</formula>
    </cfRule>
    <cfRule type="expression" dxfId="3670" priority="674" stopIfTrue="1">
      <formula>$I3006="不适用"</formula>
    </cfRule>
  </conditionalFormatting>
  <conditionalFormatting sqref="I3043">
    <cfRule type="expression" dxfId="3669" priority="2273" stopIfTrue="1">
      <formula>$I3043="适用"</formula>
    </cfRule>
    <cfRule type="expression" dxfId="3668" priority="2274" stopIfTrue="1">
      <formula>$I3043="不适用"</formula>
    </cfRule>
  </conditionalFormatting>
  <conditionalFormatting sqref="Q3043">
    <cfRule type="expression" dxfId="3667" priority="4361" stopIfTrue="1">
      <formula>$Q3043="请输入"</formula>
    </cfRule>
  </conditionalFormatting>
  <conditionalFormatting sqref="I3113">
    <cfRule type="expression" dxfId="3666" priority="661" stopIfTrue="1">
      <formula>$I3113="适用"</formula>
    </cfRule>
    <cfRule type="expression" dxfId="3665" priority="662" stopIfTrue="1">
      <formula>$I3113="不适用"</formula>
    </cfRule>
  </conditionalFormatting>
  <conditionalFormatting sqref="I3126">
    <cfRule type="expression" dxfId="3664" priority="2257" stopIfTrue="1">
      <formula>$I3126="适用"</formula>
    </cfRule>
    <cfRule type="expression" dxfId="3663" priority="2258" stopIfTrue="1">
      <formula>$I3126="不适用"</formula>
    </cfRule>
  </conditionalFormatting>
  <conditionalFormatting sqref="Q3126">
    <cfRule type="expression" dxfId="3662" priority="4364" stopIfTrue="1">
      <formula>$Q3126="请输入"</formula>
    </cfRule>
  </conditionalFormatting>
  <conditionalFormatting sqref="I3162">
    <cfRule type="expression" dxfId="3661" priority="1413" stopIfTrue="1">
      <formula>$I3162="适用"</formula>
    </cfRule>
    <cfRule type="expression" dxfId="3660" priority="1414" stopIfTrue="1">
      <formula>$I3162="不适用"</formula>
    </cfRule>
  </conditionalFormatting>
  <conditionalFormatting sqref="Q3175">
    <cfRule type="expression" dxfId="3659" priority="4368" stopIfTrue="1">
      <formula>$Q3175="请输入"</formula>
    </cfRule>
  </conditionalFormatting>
  <conditionalFormatting sqref="Q3188">
    <cfRule type="expression" dxfId="3658" priority="4369" stopIfTrue="1">
      <formula>$Q3188="请输入"</formula>
    </cfRule>
  </conditionalFormatting>
  <conditionalFormatting sqref="I3200">
    <cfRule type="expression" dxfId="3657" priority="2223" stopIfTrue="1">
      <formula>$I3200="适用"</formula>
    </cfRule>
    <cfRule type="expression" dxfId="3656" priority="2224" stopIfTrue="1">
      <formula>$I3200="不适用"</formula>
    </cfRule>
  </conditionalFormatting>
  <conditionalFormatting sqref="Q3200">
    <cfRule type="expression" dxfId="3655" priority="4370" stopIfTrue="1">
      <formula>$Q3200="请输入"</formula>
    </cfRule>
  </conditionalFormatting>
  <conditionalFormatting sqref="Q3213">
    <cfRule type="expression" dxfId="3654" priority="4371" stopIfTrue="1">
      <formula>$Q3213="请输入"</formula>
    </cfRule>
  </conditionalFormatting>
  <conditionalFormatting sqref="I3225">
    <cfRule type="expression" dxfId="3653" priority="1407" stopIfTrue="1">
      <formula>$I3225="适用"</formula>
    </cfRule>
    <cfRule type="expression" dxfId="3652" priority="1408" stopIfTrue="1">
      <formula>$I3225="不适用"</formula>
    </cfRule>
  </conditionalFormatting>
  <conditionalFormatting sqref="Q3240">
    <cfRule type="expression" dxfId="3651" priority="4372" stopIfTrue="1">
      <formula>$Q3240="请输入"</formula>
    </cfRule>
  </conditionalFormatting>
  <conditionalFormatting sqref="Q3256">
    <cfRule type="expression" dxfId="3650" priority="4373" stopIfTrue="1">
      <formula>$Q3256="请输入"</formula>
    </cfRule>
  </conditionalFormatting>
  <conditionalFormatting sqref="Q3269">
    <cfRule type="expression" dxfId="3649" priority="4374" stopIfTrue="1">
      <formula>$Q3269="请输入"</formula>
    </cfRule>
  </conditionalFormatting>
  <conditionalFormatting sqref="Q3276">
    <cfRule type="expression" dxfId="3648" priority="4375" stopIfTrue="1">
      <formula>$Q3276="请输入"</formula>
    </cfRule>
  </conditionalFormatting>
  <conditionalFormatting sqref="Q3286">
    <cfRule type="expression" dxfId="3647" priority="4376" stopIfTrue="1">
      <formula>$Q3286="请输入"</formula>
    </cfRule>
  </conditionalFormatting>
  <conditionalFormatting sqref="H3301">
    <cfRule type="expression" dxfId="3646" priority="4229">
      <formula>AND(H$3301&lt;&gt;0,H$3301&lt;&gt;"")</formula>
    </cfRule>
    <cfRule type="expression" dxfId="3645" priority="4230" stopIfTrue="1">
      <formula>H$3302&lt;&gt;"√"</formula>
    </cfRule>
  </conditionalFormatting>
  <conditionalFormatting sqref="I3301">
    <cfRule type="expression" dxfId="3644" priority="4231">
      <formula>AND(I$3301&lt;&gt;0,I$3301&lt;&gt;"")</formula>
    </cfRule>
    <cfRule type="expression" dxfId="3643" priority="4232" stopIfTrue="1">
      <formula>I$3302&lt;&gt;"√"</formula>
    </cfRule>
  </conditionalFormatting>
  <conditionalFormatting sqref="K3303">
    <cfRule type="expression" dxfId="3642" priority="4233">
      <formula>AND($K$3303&lt;&gt;0,$K$3303&lt;&gt;"")</formula>
    </cfRule>
    <cfRule type="expression" dxfId="3641" priority="4234" stopIfTrue="1">
      <formula>$L$3303&lt;&gt;"√"</formula>
    </cfRule>
  </conditionalFormatting>
  <conditionalFormatting sqref="Q3306">
    <cfRule type="expression" dxfId="3640" priority="4377" stopIfTrue="1">
      <formula>$Q3306="请输入"</formula>
    </cfRule>
  </conditionalFormatting>
  <conditionalFormatting sqref="Q3319">
    <cfRule type="expression" dxfId="3639" priority="4378" stopIfTrue="1">
      <formula>$Q3319="请输入"</formula>
    </cfRule>
  </conditionalFormatting>
  <conditionalFormatting sqref="I3329">
    <cfRule type="expression" dxfId="3638" priority="1797" stopIfTrue="1">
      <formula>$I3329="适用"</formula>
    </cfRule>
    <cfRule type="expression" dxfId="3637" priority="1798" stopIfTrue="1">
      <formula>$I3329="不适用"</formula>
    </cfRule>
  </conditionalFormatting>
  <conditionalFormatting sqref="I3339">
    <cfRule type="expression" dxfId="3636" priority="1791" stopIfTrue="1">
      <formula>$I3339="适用"</formula>
    </cfRule>
    <cfRule type="expression" dxfId="3635" priority="1792" stopIfTrue="1">
      <formula>$I3339="不适用"</formula>
    </cfRule>
  </conditionalFormatting>
  <conditionalFormatting sqref="I3349">
    <cfRule type="expression" dxfId="3634" priority="1785" stopIfTrue="1">
      <formula>$I3349="适用"</formula>
    </cfRule>
    <cfRule type="expression" dxfId="3633" priority="1786" stopIfTrue="1">
      <formula>$I3349="不适用"</formula>
    </cfRule>
  </conditionalFormatting>
  <conditionalFormatting sqref="I3370">
    <cfRule type="expression" dxfId="3632" priority="2748" stopIfTrue="1">
      <formula>$I3370="适用"</formula>
    </cfRule>
    <cfRule type="expression" dxfId="3631" priority="2749" stopIfTrue="1">
      <formula>$I3370="不适用"</formula>
    </cfRule>
  </conditionalFormatting>
  <conditionalFormatting sqref="Q3370">
    <cfRule type="expression" dxfId="3630" priority="4383" stopIfTrue="1">
      <formula>$Q3370="请输入"</formula>
    </cfRule>
  </conditionalFormatting>
  <conditionalFormatting sqref="I3381">
    <cfRule type="expression" dxfId="3629" priority="658" stopIfTrue="1">
      <formula>$I3381="适用"</formula>
    </cfRule>
    <cfRule type="expression" dxfId="3628" priority="659" stopIfTrue="1">
      <formula>$I3381="不适用"</formula>
    </cfRule>
  </conditionalFormatting>
  <conditionalFormatting sqref="I3394">
    <cfRule type="expression" dxfId="3627" priority="655" stopIfTrue="1">
      <formula>$I3394="适用"</formula>
    </cfRule>
    <cfRule type="expression" dxfId="3626" priority="656" stopIfTrue="1">
      <formula>$I3394="不适用"</formula>
    </cfRule>
  </conditionalFormatting>
  <conditionalFormatting sqref="Q3409">
    <cfRule type="expression" dxfId="3625" priority="4384" stopIfTrue="1">
      <formula>$Q3409="请输入"</formula>
    </cfRule>
  </conditionalFormatting>
  <conditionalFormatting sqref="I3421">
    <cfRule type="expression" dxfId="3624" priority="2213" stopIfTrue="1">
      <formula>$I3421="适用"</formula>
    </cfRule>
    <cfRule type="expression" dxfId="3623" priority="2214" stopIfTrue="1">
      <formula>$I3421="不适用"</formula>
    </cfRule>
  </conditionalFormatting>
  <conditionalFormatting sqref="Q3421">
    <cfRule type="expression" dxfId="3622" priority="4385" stopIfTrue="1">
      <formula>$Q3421="请输入"</formula>
    </cfRule>
  </conditionalFormatting>
  <conditionalFormatting sqref="Q3432">
    <cfRule type="expression" dxfId="3621" priority="4386" stopIfTrue="1">
      <formula>$Q3432="请输入"</formula>
    </cfRule>
  </conditionalFormatting>
  <conditionalFormatting sqref="I3443">
    <cfRule type="expression" dxfId="3620" priority="2723" stopIfTrue="1">
      <formula>$I3443="适用"</formula>
    </cfRule>
    <cfRule type="expression" dxfId="3619" priority="2724" stopIfTrue="1">
      <formula>$I3443="不适用"</formula>
    </cfRule>
    <cfRule type="expression" dxfId="3618" priority="2730" stopIfTrue="1">
      <formula>$I3443="适用"</formula>
    </cfRule>
    <cfRule type="expression" dxfId="3617" priority="2731" stopIfTrue="1">
      <formula>$I3443="不适用"</formula>
    </cfRule>
  </conditionalFormatting>
  <conditionalFormatting sqref="Q3443">
    <cfRule type="expression" dxfId="3616" priority="4387" stopIfTrue="1">
      <formula>$Q3443="请输入"</formula>
    </cfRule>
  </conditionalFormatting>
  <conditionalFormatting sqref="I3454">
    <cfRule type="expression" dxfId="3615" priority="1509" stopIfTrue="1">
      <formula>$I3454="适用"</formula>
    </cfRule>
    <cfRule type="expression" dxfId="3614" priority="1510" stopIfTrue="1">
      <formula>$I3454="不适用"</formula>
    </cfRule>
    <cfRule type="expression" dxfId="3613" priority="1511" stopIfTrue="1">
      <formula>$I3454="适用"</formula>
    </cfRule>
    <cfRule type="expression" dxfId="3612" priority="1512" stopIfTrue="1">
      <formula>$I3454="不适用"</formula>
    </cfRule>
  </conditionalFormatting>
  <conditionalFormatting sqref="I3471">
    <cfRule type="expression" dxfId="3611" priority="1465" stopIfTrue="1">
      <formula>$I3471="适用"</formula>
    </cfRule>
    <cfRule type="expression" dxfId="3610" priority="1466" stopIfTrue="1">
      <formula>$I3471="不适用"</formula>
    </cfRule>
  </conditionalFormatting>
  <conditionalFormatting sqref="Q3471">
    <cfRule type="expression" dxfId="3609" priority="4389" stopIfTrue="1">
      <formula>$Q3471="请输入"</formula>
    </cfRule>
  </conditionalFormatting>
  <conditionalFormatting sqref="Q3481">
    <cfRule type="expression" dxfId="3608" priority="4390" stopIfTrue="1">
      <formula>$Q3481="请输入"</formula>
    </cfRule>
  </conditionalFormatting>
  <conditionalFormatting sqref="Q3491">
    <cfRule type="expression" dxfId="3607" priority="4391" stopIfTrue="1">
      <formula>$Q3491="请输入"</formula>
    </cfRule>
  </conditionalFormatting>
  <conditionalFormatting sqref="I3531">
    <cfRule type="expression" dxfId="3606" priority="2680" stopIfTrue="1">
      <formula>$I3531="适用"</formula>
    </cfRule>
    <cfRule type="expression" dxfId="3605" priority="2681" stopIfTrue="1">
      <formula>$I3531="不适用"</formula>
    </cfRule>
    <cfRule type="expression" dxfId="3604" priority="2688" stopIfTrue="1">
      <formula>$I3531="适用"</formula>
    </cfRule>
    <cfRule type="expression" dxfId="3603" priority="2689" stopIfTrue="1">
      <formula>$I3531="不适用"</formula>
    </cfRule>
  </conditionalFormatting>
  <conditionalFormatting sqref="Q3531">
    <cfRule type="expression" dxfId="3602" priority="4393" stopIfTrue="1">
      <formula>$Q3531="请输入"</formula>
    </cfRule>
  </conditionalFormatting>
  <conditionalFormatting sqref="I3541">
    <cfRule type="expression" dxfId="3601" priority="1499" stopIfTrue="1">
      <formula>$I3541="适用"</formula>
    </cfRule>
    <cfRule type="expression" dxfId="3600" priority="1500" stopIfTrue="1">
      <formula>$I3541="不适用"</formula>
    </cfRule>
    <cfRule type="expression" dxfId="3599" priority="1501" stopIfTrue="1">
      <formula>$I3541="适用"</formula>
    </cfRule>
    <cfRule type="expression" dxfId="3598" priority="1502" stopIfTrue="1">
      <formula>$I3541="不适用"</formula>
    </cfRule>
  </conditionalFormatting>
  <conditionalFormatting sqref="Q3558">
    <cfRule type="expression" dxfId="3597" priority="4395" stopIfTrue="1">
      <formula>$Q3558="请输入"</formula>
    </cfRule>
  </conditionalFormatting>
  <conditionalFormatting sqref="I3568">
    <cfRule type="expression" dxfId="3596" priority="2195" stopIfTrue="1">
      <formula>$I3568="适用"</formula>
    </cfRule>
    <cfRule type="expression" dxfId="3595" priority="2196" stopIfTrue="1">
      <formula>$I3568="不适用"</formula>
    </cfRule>
  </conditionalFormatting>
  <conditionalFormatting sqref="Q3568">
    <cfRule type="expression" dxfId="3594" priority="4396" stopIfTrue="1">
      <formula>$Q3568="请输入"</formula>
    </cfRule>
  </conditionalFormatting>
  <conditionalFormatting sqref="Q3578">
    <cfRule type="expression" dxfId="3593" priority="4397" stopIfTrue="1">
      <formula>$Q3578="请输入"</formula>
    </cfRule>
  </conditionalFormatting>
  <conditionalFormatting sqref="Q3588">
    <cfRule type="expression" dxfId="3592" priority="4399" stopIfTrue="1">
      <formula>$Q3588="请输入"</formula>
    </cfRule>
  </conditionalFormatting>
  <conditionalFormatting sqref="I3598">
    <cfRule type="expression" dxfId="3591" priority="1767" stopIfTrue="1">
      <formula>$I3598="适用"</formula>
    </cfRule>
    <cfRule type="expression" dxfId="3590" priority="1768" stopIfTrue="1">
      <formula>$I3598="不适用"</formula>
    </cfRule>
  </conditionalFormatting>
  <conditionalFormatting sqref="Q3618">
    <cfRule type="expression" dxfId="3589" priority="4400" stopIfTrue="1">
      <formula>$Q3618="请输入"</formula>
    </cfRule>
  </conditionalFormatting>
  <conditionalFormatting sqref="I3628">
    <cfRule type="expression" dxfId="3588" priority="2185" stopIfTrue="1">
      <formula>$I3628="适用"</formula>
    </cfRule>
    <cfRule type="expression" dxfId="3587" priority="2186" stopIfTrue="1">
      <formula>$I3628="不适用"</formula>
    </cfRule>
  </conditionalFormatting>
  <conditionalFormatting sqref="Q3628">
    <cfRule type="expression" dxfId="3586" priority="4401" stopIfTrue="1">
      <formula>$Q3628="请输入"</formula>
    </cfRule>
  </conditionalFormatting>
  <conditionalFormatting sqref="I3657">
    <cfRule type="expression" dxfId="3585" priority="2179" stopIfTrue="1">
      <formula>$I3657="适用"</formula>
    </cfRule>
    <cfRule type="expression" dxfId="3584" priority="2180" stopIfTrue="1">
      <formula>$I3657="不适用"</formula>
    </cfRule>
  </conditionalFormatting>
  <conditionalFormatting sqref="Q3657">
    <cfRule type="expression" dxfId="3583" priority="4402" stopIfTrue="1">
      <formula>$Q3657="请输入"</formula>
    </cfRule>
  </conditionalFormatting>
  <conditionalFormatting sqref="I3681">
    <cfRule type="expression" dxfId="3582" priority="1455" stopIfTrue="1">
      <formula>$I3681="适用"</formula>
    </cfRule>
    <cfRule type="expression" dxfId="3581" priority="1456" stopIfTrue="1">
      <formula>$I3681="不适用"</formula>
    </cfRule>
  </conditionalFormatting>
  <conditionalFormatting sqref="I3713">
    <cfRule type="expression" dxfId="3580" priority="1441" stopIfTrue="1">
      <formula>$I3713="适用"</formula>
    </cfRule>
    <cfRule type="expression" dxfId="3579" priority="1442" stopIfTrue="1">
      <formula>$I3713="不适用"</formula>
    </cfRule>
  </conditionalFormatting>
  <conditionalFormatting sqref="I3727">
    <cfRule type="expression" dxfId="3578" priority="648" stopIfTrue="1">
      <formula>$I3727="适用"</formula>
    </cfRule>
    <cfRule type="expression" dxfId="3577" priority="649" stopIfTrue="1">
      <formula>$I3727="不适用"</formula>
    </cfRule>
  </conditionalFormatting>
  <conditionalFormatting sqref="Q3727">
    <cfRule type="expression" dxfId="3576" priority="4404" stopIfTrue="1">
      <formula>$Q3727="请输入"</formula>
    </cfRule>
  </conditionalFormatting>
  <conditionalFormatting sqref="I3746">
    <cfRule type="expression" dxfId="3575" priority="1451" stopIfTrue="1">
      <formula>$I3746="适用"</formula>
    </cfRule>
    <cfRule type="expression" dxfId="3574" priority="1452" stopIfTrue="1">
      <formula>$I3746="不适用"</formula>
    </cfRule>
  </conditionalFormatting>
  <conditionalFormatting sqref="I3760">
    <cfRule type="expression" dxfId="3573" priority="1098" stopIfTrue="1">
      <formula>$I3760="适用"</formula>
    </cfRule>
    <cfRule type="expression" dxfId="3572" priority="1099" stopIfTrue="1">
      <formula>$I3760="不适用"</formula>
    </cfRule>
  </conditionalFormatting>
  <conditionalFormatting sqref="Q3770">
    <cfRule type="expression" dxfId="3571" priority="4405" stopIfTrue="1">
      <formula>$Q3770="请输入"</formula>
    </cfRule>
  </conditionalFormatting>
  <conditionalFormatting sqref="I3790">
    <cfRule type="expression" dxfId="3570" priority="2173" stopIfTrue="1">
      <formula>$I3790="适用"</formula>
    </cfRule>
    <cfRule type="expression" dxfId="3569" priority="2174" stopIfTrue="1">
      <formula>$I3790="不适用"</formula>
    </cfRule>
  </conditionalFormatting>
  <conditionalFormatting sqref="Q3790">
    <cfRule type="expression" dxfId="3568" priority="4406" stopIfTrue="1">
      <formula>$Q3790="请输入"</formula>
    </cfRule>
  </conditionalFormatting>
  <conditionalFormatting sqref="Q3801">
    <cfRule type="expression" dxfId="3567" priority="4407" stopIfTrue="1">
      <formula>$Q3801="请输入"</formula>
    </cfRule>
  </conditionalFormatting>
  <conditionalFormatting sqref="I3818">
    <cfRule type="expression" dxfId="3566" priority="2167" stopIfTrue="1">
      <formula>$I3818="适用"</formula>
    </cfRule>
    <cfRule type="expression" dxfId="3565" priority="2168" stopIfTrue="1">
      <formula>$I3818="不适用"</formula>
    </cfRule>
  </conditionalFormatting>
  <conditionalFormatting sqref="Q3818">
    <cfRule type="expression" dxfId="3564" priority="4408" stopIfTrue="1">
      <formula>$Q3818="请输入"</formula>
    </cfRule>
  </conditionalFormatting>
  <conditionalFormatting sqref="I3829">
    <cfRule type="expression" dxfId="3563" priority="2637" stopIfTrue="1">
      <formula>$I3829="适用"</formula>
    </cfRule>
    <cfRule type="expression" dxfId="3562" priority="2638" stopIfTrue="1">
      <formula>$I3829="不适用"</formula>
    </cfRule>
    <cfRule type="expression" dxfId="3561" priority="2645" stopIfTrue="1">
      <formula>$I3829="适用"</formula>
    </cfRule>
    <cfRule type="expression" dxfId="3560" priority="2646" stopIfTrue="1">
      <formula>$I3829="不适用"</formula>
    </cfRule>
  </conditionalFormatting>
  <conditionalFormatting sqref="Q3829">
    <cfRule type="expression" dxfId="3559" priority="4409" stopIfTrue="1">
      <formula>$Q3829="请输入"</formula>
    </cfRule>
  </conditionalFormatting>
  <conditionalFormatting sqref="I3839">
    <cfRule type="expression" dxfId="3558" priority="1487" stopIfTrue="1">
      <formula>$I3839="适用"</formula>
    </cfRule>
    <cfRule type="expression" dxfId="3557" priority="1488" stopIfTrue="1">
      <formula>$I3839="不适用"</formula>
    </cfRule>
    <cfRule type="expression" dxfId="3556" priority="1489" stopIfTrue="1">
      <formula>$I3839="适用"</formula>
    </cfRule>
    <cfRule type="expression" dxfId="3555" priority="1490" stopIfTrue="1">
      <formula>$I3839="不适用"</formula>
    </cfRule>
  </conditionalFormatting>
  <conditionalFormatting sqref="Q3856">
    <cfRule type="expression" dxfId="3554" priority="4411" stopIfTrue="1">
      <formula>$Q3856="请输入"</formula>
    </cfRule>
  </conditionalFormatting>
  <conditionalFormatting sqref="I3866">
    <cfRule type="expression" dxfId="3553" priority="1473" stopIfTrue="1">
      <formula>$I3866="适用"</formula>
    </cfRule>
    <cfRule type="expression" dxfId="3552" priority="1474" stopIfTrue="1">
      <formula>$I3866="不适用"</formula>
    </cfRule>
  </conditionalFormatting>
  <conditionalFormatting sqref="Q3876">
    <cfRule type="expression" dxfId="3551" priority="4413" stopIfTrue="1">
      <formula>$Q3876="请输入"</formula>
    </cfRule>
  </conditionalFormatting>
  <conditionalFormatting sqref="G3878">
    <cfRule type="expression" dxfId="3550" priority="2161" stopIfTrue="1">
      <formula>$D3878&gt;1</formula>
    </cfRule>
    <cfRule type="expression" dxfId="3549" priority="2162" stopIfTrue="1">
      <formula>$C3878="%IN"</formula>
    </cfRule>
  </conditionalFormatting>
  <conditionalFormatting sqref="Q3886">
    <cfRule type="expression" dxfId="3548" priority="4414" stopIfTrue="1">
      <formula>$Q3886="请输入"</formula>
    </cfRule>
  </conditionalFormatting>
  <conditionalFormatting sqref="Q3927">
    <cfRule type="expression" dxfId="3547" priority="4415" stopIfTrue="1">
      <formula>$Q3927="请输入"</formula>
    </cfRule>
  </conditionalFormatting>
  <conditionalFormatting sqref="Q3937">
    <cfRule type="expression" dxfId="3546" priority="4416" stopIfTrue="1">
      <formula>$Q3937="请输入"</formula>
    </cfRule>
  </conditionalFormatting>
  <conditionalFormatting sqref="Q3947">
    <cfRule type="expression" dxfId="3545" priority="4417" stopIfTrue="1">
      <formula>$Q3947="请输入"</formula>
    </cfRule>
  </conditionalFormatting>
  <conditionalFormatting sqref="Q3957">
    <cfRule type="expression" dxfId="3544" priority="4418" stopIfTrue="1">
      <formula>$Q3957="请输入"</formula>
    </cfRule>
  </conditionalFormatting>
  <conditionalFormatting sqref="Q3968">
    <cfRule type="expression" dxfId="3543" priority="4419" stopIfTrue="1">
      <formula>$Q3968="请输入"</formula>
    </cfRule>
  </conditionalFormatting>
  <conditionalFormatting sqref="I3979">
    <cfRule type="expression" dxfId="3542" priority="2159" stopIfTrue="1">
      <formula>$I3979="适用"</formula>
    </cfRule>
    <cfRule type="expression" dxfId="3541" priority="2160" stopIfTrue="1">
      <formula>$I3979="不适用"</formula>
    </cfRule>
  </conditionalFormatting>
  <conditionalFormatting sqref="Q3979">
    <cfRule type="expression" dxfId="3540" priority="4420" stopIfTrue="1">
      <formula>$Q3979="请输入"</formula>
    </cfRule>
  </conditionalFormatting>
  <conditionalFormatting sqref="L3992">
    <cfRule type="expression" dxfId="3539" priority="4039">
      <formula>AND(L$3992&lt;&gt;0,L$3992&lt;&gt;"")</formula>
    </cfRule>
    <cfRule type="expression" dxfId="3538" priority="4040" stopIfTrue="1">
      <formula>L$3993&lt;&gt;"√"</formula>
    </cfRule>
  </conditionalFormatting>
  <conditionalFormatting sqref="Q3992">
    <cfRule type="expression" dxfId="3537" priority="4041">
      <formula>AND(Q$3992&lt;&gt;0,Q$3992&lt;&gt;"")</formula>
    </cfRule>
    <cfRule type="expression" dxfId="3536" priority="4042" stopIfTrue="1">
      <formula>Q$3993&lt;&gt;"√"</formula>
    </cfRule>
  </conditionalFormatting>
  <conditionalFormatting sqref="K3994">
    <cfRule type="expression" dxfId="3535" priority="4043">
      <formula>AND($K$3994&lt;&gt;0,$K$3994&lt;&gt;"")</formula>
    </cfRule>
    <cfRule type="expression" dxfId="3534" priority="4044" stopIfTrue="1">
      <formula>$L$3994&lt;&gt;"√"</formula>
    </cfRule>
  </conditionalFormatting>
  <conditionalFormatting sqref="Q3997">
    <cfRule type="expression" dxfId="3533" priority="4422" stopIfTrue="1">
      <formula>$Q3997="请输入"</formula>
    </cfRule>
  </conditionalFormatting>
  <conditionalFormatting sqref="I4010">
    <cfRule type="expression" dxfId="3532" priority="1755" stopIfTrue="1">
      <formula>$I4010="适用"</formula>
    </cfRule>
    <cfRule type="expression" dxfId="3531" priority="1756" stopIfTrue="1">
      <formula>$I4010="不适用"</formula>
    </cfRule>
  </conditionalFormatting>
  <conditionalFormatting sqref="I4020">
    <cfRule type="expression" dxfId="3530" priority="1481" stopIfTrue="1">
      <formula>$I4020="适用"</formula>
    </cfRule>
    <cfRule type="expression" dxfId="3529" priority="1482" stopIfTrue="1">
      <formula>$I4020="不适用"</formula>
    </cfRule>
  </conditionalFormatting>
  <conditionalFormatting sqref="I4030">
    <cfRule type="expression" dxfId="3528" priority="1749" stopIfTrue="1">
      <formula>$I4030="适用"</formula>
    </cfRule>
    <cfRule type="expression" dxfId="3527" priority="1750" stopIfTrue="1">
      <formula>$I4030="不适用"</formula>
    </cfRule>
  </conditionalFormatting>
  <conditionalFormatting sqref="I4051">
    <cfRule type="expression" dxfId="3526" priority="2153" stopIfTrue="1">
      <formula>$I4051="适用"</formula>
    </cfRule>
    <cfRule type="expression" dxfId="3525" priority="2154" stopIfTrue="1">
      <formula>$I4051="不适用"</formula>
    </cfRule>
  </conditionalFormatting>
  <conditionalFormatting sqref="Q4051">
    <cfRule type="expression" dxfId="3524" priority="4427" stopIfTrue="1">
      <formula>$Q4051="请输入"</formula>
    </cfRule>
  </conditionalFormatting>
  <conditionalFormatting sqref="Q4061">
    <cfRule type="expression" dxfId="3523" priority="4428" stopIfTrue="1">
      <formula>$Q4061="请输入"</formula>
    </cfRule>
  </conditionalFormatting>
  <conditionalFormatting sqref="I4074">
    <cfRule type="expression" dxfId="3522" priority="1881" stopIfTrue="1">
      <formula>$I4074="适用"</formula>
    </cfRule>
    <cfRule type="expression" dxfId="3521" priority="1882" stopIfTrue="1">
      <formula>$I4074="不适用"</formula>
    </cfRule>
  </conditionalFormatting>
  <conditionalFormatting sqref="Q4074">
    <cfRule type="expression" dxfId="3520" priority="4429" stopIfTrue="1">
      <formula>$Q4074="请输入"</formula>
    </cfRule>
  </conditionalFormatting>
  <conditionalFormatting sqref="Q4084">
    <cfRule type="expression" dxfId="3519" priority="4430" stopIfTrue="1">
      <formula>$Q4084="请输入"</formula>
    </cfRule>
  </conditionalFormatting>
  <conditionalFormatting sqref="I4107">
    <cfRule type="expression" dxfId="3518" priority="1093" stopIfTrue="1">
      <formula>$I4107="适用"</formula>
    </cfRule>
    <cfRule type="expression" dxfId="3517" priority="1094" stopIfTrue="1">
      <formula>$I4107="不适用"</formula>
    </cfRule>
  </conditionalFormatting>
  <conditionalFormatting sqref="I4113">
    <cfRule type="expression" dxfId="3516" priority="1068">
      <formula>$D4113&gt;1</formula>
    </cfRule>
    <cfRule type="expression" dxfId="3515" priority="1069">
      <formula>$C4113="%IN"</formula>
    </cfRule>
    <cfRule type="expression" dxfId="3514" priority="1070" stopIfTrue="1">
      <formula>$E4113=0</formula>
    </cfRule>
  </conditionalFormatting>
  <conditionalFormatting sqref="I4118">
    <cfRule type="expression" dxfId="3513" priority="2515" stopIfTrue="1">
      <formula>$I4118="适用"</formula>
    </cfRule>
    <cfRule type="expression" dxfId="3512" priority="2516" stopIfTrue="1">
      <formula>$I4118="不适用"</formula>
    </cfRule>
  </conditionalFormatting>
  <conditionalFormatting sqref="Q4118">
    <cfRule type="expression" dxfId="3511" priority="4431" stopIfTrue="1">
      <formula>$Q4118="请输入"</formula>
    </cfRule>
  </conditionalFormatting>
  <conditionalFormatting sqref="I4136">
    <cfRule type="expression" dxfId="3510" priority="1951" stopIfTrue="1">
      <formula>$I4136="适用"</formula>
    </cfRule>
    <cfRule type="expression" dxfId="3509" priority="1952" stopIfTrue="1">
      <formula>$I4136="不适用"</formula>
    </cfRule>
  </conditionalFormatting>
  <conditionalFormatting sqref="Q4136">
    <cfRule type="expression" dxfId="3508" priority="4432" stopIfTrue="1">
      <formula>$Q4136="请输入"</formula>
    </cfRule>
  </conditionalFormatting>
  <conditionalFormatting sqref="I4168">
    <cfRule type="expression" dxfId="3507" priority="2137" stopIfTrue="1">
      <formula>$I4168="适用"</formula>
    </cfRule>
    <cfRule type="expression" dxfId="3506" priority="2138" stopIfTrue="1">
      <formula>$I4168="不适用"</formula>
    </cfRule>
  </conditionalFormatting>
  <conditionalFormatting sqref="Q4168">
    <cfRule type="expression" dxfId="3505" priority="4433" stopIfTrue="1">
      <formula>$Q4168="请输入"</formula>
    </cfRule>
  </conditionalFormatting>
  <conditionalFormatting sqref="Q4178">
    <cfRule type="expression" dxfId="3504" priority="4434" stopIfTrue="1">
      <formula>$Q4178="请输入"</formula>
    </cfRule>
  </conditionalFormatting>
  <conditionalFormatting sqref="Q4198">
    <cfRule type="expression" dxfId="3503" priority="4435" stopIfTrue="1">
      <formula>$Q4198="请输入"</formula>
    </cfRule>
  </conditionalFormatting>
  <conditionalFormatting sqref="Q4213">
    <cfRule type="expression" dxfId="3502" priority="4436" stopIfTrue="1">
      <formula>$Q4213="请输入"</formula>
    </cfRule>
  </conditionalFormatting>
  <conditionalFormatting sqref="Q4222">
    <cfRule type="expression" dxfId="3501" priority="4439" stopIfTrue="1">
      <formula>$Q4222="请输入"</formula>
    </cfRule>
  </conditionalFormatting>
  <conditionalFormatting sqref="Q4233">
    <cfRule type="expression" dxfId="3500" priority="4440" stopIfTrue="1">
      <formula>$Q4233="请输入"</formula>
    </cfRule>
  </conditionalFormatting>
  <conditionalFormatting sqref="Q4247">
    <cfRule type="expression" dxfId="3499" priority="4443" stopIfTrue="1">
      <formula>$Q4247="请输入"</formula>
    </cfRule>
  </conditionalFormatting>
  <conditionalFormatting sqref="I4261">
    <cfRule type="expression" dxfId="3498" priority="2133" stopIfTrue="1">
      <formula>$I4261="适用"</formula>
    </cfRule>
    <cfRule type="expression" dxfId="3497" priority="2134" stopIfTrue="1">
      <formula>$I4261="不适用"</formula>
    </cfRule>
  </conditionalFormatting>
  <conditionalFormatting sqref="Q4261">
    <cfRule type="expression" dxfId="3496" priority="4444" stopIfTrue="1">
      <formula>$Q4261="请输入"</formula>
    </cfRule>
  </conditionalFormatting>
  <conditionalFormatting sqref="I4269">
    <cfRule type="expression" dxfId="3495" priority="2119" stopIfTrue="1">
      <formula>$I4269="适用"</formula>
    </cfRule>
    <cfRule type="expression" dxfId="3494" priority="2120" stopIfTrue="1">
      <formula>$I4269="不适用"</formula>
    </cfRule>
  </conditionalFormatting>
  <conditionalFormatting sqref="Q4269">
    <cfRule type="expression" dxfId="3493" priority="4445" stopIfTrue="1">
      <formula>$Q4269="请输入"</formula>
    </cfRule>
  </conditionalFormatting>
  <conditionalFormatting sqref="Q4287">
    <cfRule type="expression" dxfId="3492" priority="4446" stopIfTrue="1">
      <formula>$Q4287="请输入"</formula>
    </cfRule>
  </conditionalFormatting>
  <conditionalFormatting sqref="I4297">
    <cfRule type="expression" dxfId="3491" priority="1929" stopIfTrue="1">
      <formula>$I4297="适用"</formula>
    </cfRule>
    <cfRule type="expression" dxfId="3490" priority="1930" stopIfTrue="1">
      <formula>$I4297="不适用"</formula>
    </cfRule>
  </conditionalFormatting>
  <conditionalFormatting sqref="Q4308">
    <cfRule type="expression" dxfId="3489" priority="4447" stopIfTrue="1">
      <formula>$Q4308="请输入"</formula>
    </cfRule>
  </conditionalFormatting>
  <conditionalFormatting sqref="I4330">
    <cfRule type="expression" dxfId="3488" priority="1873" stopIfTrue="1">
      <formula>$I4330="适用"</formula>
    </cfRule>
    <cfRule type="expression" dxfId="3487" priority="1874" stopIfTrue="1">
      <formula>$I4330="不适用"</formula>
    </cfRule>
  </conditionalFormatting>
  <conditionalFormatting sqref="Q4330">
    <cfRule type="expression" dxfId="3486" priority="4449" stopIfTrue="1">
      <formula>$Q4330="请输入"</formula>
    </cfRule>
  </conditionalFormatting>
  <conditionalFormatting sqref="I4340">
    <cfRule type="expression" dxfId="3485" priority="2069" stopIfTrue="1">
      <formula>$I4340="适用"</formula>
    </cfRule>
    <cfRule type="expression" dxfId="3484" priority="2070" stopIfTrue="1">
      <formula>$I4340="不适用"</formula>
    </cfRule>
  </conditionalFormatting>
  <conditionalFormatting sqref="Q4340">
    <cfRule type="expression" dxfId="3483" priority="4450" stopIfTrue="1">
      <formula>$Q4340="请输入"</formula>
    </cfRule>
  </conditionalFormatting>
  <conditionalFormatting sqref="Q4351">
    <cfRule type="expression" dxfId="3482" priority="4452" stopIfTrue="1">
      <formula>$Q4351="请输入"</formula>
    </cfRule>
  </conditionalFormatting>
  <conditionalFormatting sqref="I4367">
    <cfRule type="expression" dxfId="3481" priority="611" stopIfTrue="1">
      <formula>$I4367="适用"</formula>
    </cfRule>
    <cfRule type="expression" dxfId="3480" priority="612" stopIfTrue="1">
      <formula>$I4367="不适用"</formula>
    </cfRule>
  </conditionalFormatting>
  <conditionalFormatting sqref="Q4392">
    <cfRule type="expression" dxfId="3479" priority="4454" stopIfTrue="1">
      <formula>$Q4392="请输入"</formula>
    </cfRule>
  </conditionalFormatting>
  <conditionalFormatting sqref="I4424">
    <cfRule type="expression" dxfId="3478" priority="596" stopIfTrue="1">
      <formula>$I4424="适用"</formula>
    </cfRule>
    <cfRule type="expression" dxfId="3477" priority="597" stopIfTrue="1">
      <formula>$I4424="不适用"</formula>
    </cfRule>
  </conditionalFormatting>
  <conditionalFormatting sqref="Q4437">
    <cfRule type="expression" dxfId="3476" priority="4456" stopIfTrue="1">
      <formula>$Q4437="请输入"</formula>
    </cfRule>
  </conditionalFormatting>
  <conditionalFormatting sqref="Q4457">
    <cfRule type="expression" dxfId="3475" priority="4458" stopIfTrue="1">
      <formula>$Q4457="请输入"</formula>
    </cfRule>
  </conditionalFormatting>
  <conditionalFormatting sqref="I4488">
    <cfRule type="expression" dxfId="3474" priority="593" stopIfTrue="1">
      <formula>$I4488="适用"</formula>
    </cfRule>
    <cfRule type="expression" dxfId="3473" priority="594" stopIfTrue="1">
      <formula>$I4488="不适用"</formula>
    </cfRule>
  </conditionalFormatting>
  <conditionalFormatting sqref="Q4498">
    <cfRule type="expression" dxfId="3472" priority="4460" stopIfTrue="1">
      <formula>$Q4498="请输入"</formula>
    </cfRule>
  </conditionalFormatting>
  <conditionalFormatting sqref="Q4507">
    <cfRule type="expression" dxfId="3471" priority="4461" stopIfTrue="1">
      <formula>$Q4507="请输入"</formula>
    </cfRule>
  </conditionalFormatting>
  <conditionalFormatting sqref="Q4516">
    <cfRule type="expression" dxfId="3470" priority="4462" stopIfTrue="1">
      <formula>$Q4516="请输入"</formula>
    </cfRule>
  </conditionalFormatting>
  <conditionalFormatting sqref="H4536">
    <cfRule type="expression" dxfId="3469" priority="4077">
      <formula>AND(H$4536&lt;&gt;0,H$4536&lt;&gt;"")</formula>
    </cfRule>
    <cfRule type="expression" dxfId="3468" priority="4078" stopIfTrue="1">
      <formula>H$4537&lt;&gt;"√"</formula>
    </cfRule>
  </conditionalFormatting>
  <conditionalFormatting sqref="I4536">
    <cfRule type="expression" dxfId="3467" priority="4079">
      <formula>AND(I$4536&lt;&gt;0,I$4536&lt;&gt;"")</formula>
    </cfRule>
    <cfRule type="expression" dxfId="3466" priority="4080" stopIfTrue="1">
      <formula>I$4537&lt;&gt;"√"</formula>
    </cfRule>
  </conditionalFormatting>
  <conditionalFormatting sqref="J4536">
    <cfRule type="expression" dxfId="3465" priority="4081">
      <formula>AND(J$4536&lt;&gt;0,J$4536&lt;&gt;"")</formula>
    </cfRule>
    <cfRule type="expression" dxfId="3464" priority="4082" stopIfTrue="1">
      <formula>J$4537&lt;&gt;"√"</formula>
    </cfRule>
  </conditionalFormatting>
  <conditionalFormatting sqref="K4536">
    <cfRule type="expression" dxfId="3463" priority="4083">
      <formula>AND(K$4536&lt;&gt;0,K$4536&lt;&gt;"")</formula>
    </cfRule>
    <cfRule type="expression" dxfId="3462" priority="4084" stopIfTrue="1">
      <formula>K$4537&lt;&gt;"√"</formula>
    </cfRule>
  </conditionalFormatting>
  <conditionalFormatting sqref="K4538">
    <cfRule type="expression" dxfId="3461" priority="4085">
      <formula>AND($K$4538&lt;&gt;0,$K$4538&lt;&gt;"")</formula>
    </cfRule>
    <cfRule type="expression" dxfId="3460" priority="4086" stopIfTrue="1">
      <formula>$L$4538&lt;&gt;"√"</formula>
    </cfRule>
  </conditionalFormatting>
  <conditionalFormatting sqref="Q4540">
    <cfRule type="expression" dxfId="3459" priority="4463" stopIfTrue="1">
      <formula>$Q4540="请输入"</formula>
    </cfRule>
  </conditionalFormatting>
  <conditionalFormatting sqref="H4559">
    <cfRule type="expression" dxfId="3458" priority="4087">
      <formula>AND(H$4559&lt;&gt;0,H$4559&lt;&gt;"")</formula>
    </cfRule>
    <cfRule type="expression" dxfId="3457" priority="4088" stopIfTrue="1">
      <formula>H$4560&lt;&gt;"√"</formula>
    </cfRule>
  </conditionalFormatting>
  <conditionalFormatting sqref="I4559">
    <cfRule type="expression" dxfId="3456" priority="4089">
      <formula>AND(I$4559&lt;&gt;0,I$4559&lt;&gt;"")</formula>
    </cfRule>
    <cfRule type="expression" dxfId="3455" priority="4090" stopIfTrue="1">
      <formula>I$4560&lt;&gt;"√"</formula>
    </cfRule>
  </conditionalFormatting>
  <conditionalFormatting sqref="J4559">
    <cfRule type="expression" dxfId="3454" priority="4091">
      <formula>AND(J$4559&lt;&gt;0,J$4559&lt;&gt;"")</formula>
    </cfRule>
    <cfRule type="expression" dxfId="3453" priority="4092" stopIfTrue="1">
      <formula>J$4560&lt;&gt;"√"</formula>
    </cfRule>
  </conditionalFormatting>
  <conditionalFormatting sqref="K4559">
    <cfRule type="expression" dxfId="3452" priority="4093">
      <formula>AND(K$4559&lt;&gt;0,K$4559&lt;&gt;"")</formula>
    </cfRule>
    <cfRule type="expression" dxfId="3451" priority="4094" stopIfTrue="1">
      <formula>K$4560&lt;&gt;"√"</formula>
    </cfRule>
  </conditionalFormatting>
  <conditionalFormatting sqref="K4561">
    <cfRule type="expression" dxfId="3450" priority="4095">
      <formula>AND($K$4561&lt;&gt;0,$K$4561&lt;&gt;"")</formula>
    </cfRule>
    <cfRule type="expression" dxfId="3449" priority="4096" stopIfTrue="1">
      <formula>$L$4561&lt;&gt;"√"</formula>
    </cfRule>
  </conditionalFormatting>
  <conditionalFormatting sqref="Q4563">
    <cfRule type="expression" dxfId="3448" priority="4464" stopIfTrue="1">
      <formula>$Q4563="请输入"</formula>
    </cfRule>
  </conditionalFormatting>
  <conditionalFormatting sqref="H4578">
    <cfRule type="expression" dxfId="3447" priority="4097">
      <formula>AND(H$4578&lt;&gt;0,H$4578&lt;&gt;"")</formula>
    </cfRule>
    <cfRule type="expression" dxfId="3446" priority="4098" stopIfTrue="1">
      <formula>H$4579&lt;&gt;"√"</formula>
    </cfRule>
  </conditionalFormatting>
  <conditionalFormatting sqref="I4578">
    <cfRule type="expression" dxfId="3445" priority="4099">
      <formula>AND(I$4578&lt;&gt;0,I$4578&lt;&gt;"")</formula>
    </cfRule>
    <cfRule type="expression" dxfId="3444" priority="4100" stopIfTrue="1">
      <formula>I$4579&lt;&gt;"√"</formula>
    </cfRule>
  </conditionalFormatting>
  <conditionalFormatting sqref="J4578">
    <cfRule type="expression" dxfId="3443" priority="4101">
      <formula>AND(J$4578&lt;&gt;0,J$4578&lt;&gt;"")</formula>
    </cfRule>
    <cfRule type="expression" dxfId="3442" priority="4102" stopIfTrue="1">
      <formula>J$4579&lt;&gt;"√"</formula>
    </cfRule>
  </conditionalFormatting>
  <conditionalFormatting sqref="K4578">
    <cfRule type="expression" dxfId="3441" priority="4103">
      <formula>AND(K$4578&lt;&gt;0,K$4578&lt;&gt;"")</formula>
    </cfRule>
    <cfRule type="expression" dxfId="3440" priority="4104" stopIfTrue="1">
      <formula>K$4579&lt;&gt;"√"</formula>
    </cfRule>
  </conditionalFormatting>
  <conditionalFormatting sqref="K4580">
    <cfRule type="expression" dxfId="3439" priority="4105">
      <formula>AND($K$4580&lt;&gt;0,$K$4580&lt;&gt;"")</formula>
    </cfRule>
    <cfRule type="expression" dxfId="3438" priority="4106" stopIfTrue="1">
      <formula>$L$4580&lt;&gt;"√"</formula>
    </cfRule>
  </conditionalFormatting>
  <conditionalFormatting sqref="I4582">
    <cfRule type="expression" dxfId="3437" priority="1743" stopIfTrue="1">
      <formula>$I4582="适用"</formula>
    </cfRule>
    <cfRule type="expression" dxfId="3436" priority="1744" stopIfTrue="1">
      <formula>$I4582="不适用"</formula>
    </cfRule>
  </conditionalFormatting>
  <conditionalFormatting sqref="I4597">
    <cfRule type="expression" dxfId="3435" priority="1737" stopIfTrue="1">
      <formula>$I4597="适用"</formula>
    </cfRule>
    <cfRule type="expression" dxfId="3434" priority="1738" stopIfTrue="1">
      <formula>$I4597="不适用"</formula>
    </cfRule>
  </conditionalFormatting>
  <conditionalFormatting sqref="Q4633">
    <cfRule type="expression" dxfId="3433" priority="4465" stopIfTrue="1">
      <formula>$Q4633="请输入"</formula>
    </cfRule>
  </conditionalFormatting>
  <conditionalFormatting sqref="I4652">
    <cfRule type="expression" dxfId="3432" priority="1393" stopIfTrue="1">
      <formula>$I4652="适用"</formula>
    </cfRule>
    <cfRule type="expression" dxfId="3431" priority="1394" stopIfTrue="1">
      <formula>$I4652="不适用"</formula>
    </cfRule>
  </conditionalFormatting>
  <conditionalFormatting sqref="Q4663">
    <cfRule type="expression" dxfId="3430" priority="4466" stopIfTrue="1">
      <formula>$Q4663="请输入"</formula>
    </cfRule>
  </conditionalFormatting>
  <conditionalFormatting sqref="I4683">
    <cfRule type="expression" dxfId="3429" priority="1387" stopIfTrue="1">
      <formula>$I4683="适用"</formula>
    </cfRule>
    <cfRule type="expression" dxfId="3428" priority="1388" stopIfTrue="1">
      <formula>$I4683="不适用"</formula>
    </cfRule>
  </conditionalFormatting>
  <conditionalFormatting sqref="Q4694">
    <cfRule type="expression" dxfId="3427" priority="4467" stopIfTrue="1">
      <formula>$Q4694="请输入"</formula>
    </cfRule>
  </conditionalFormatting>
  <conditionalFormatting sqref="I4714">
    <cfRule type="expression" dxfId="3426" priority="1379" stopIfTrue="1">
      <formula>$I4714="适用"</formula>
    </cfRule>
    <cfRule type="expression" dxfId="3425" priority="1380" stopIfTrue="1">
      <formula>$I4714="不适用"</formula>
    </cfRule>
  </conditionalFormatting>
  <conditionalFormatting sqref="I4725">
    <cfRule type="expression" dxfId="3424" priority="1088" stopIfTrue="1">
      <formula>$I4725="适用"</formula>
    </cfRule>
    <cfRule type="expression" dxfId="3423" priority="1089" stopIfTrue="1">
      <formula>$I4725="不适用"</formula>
    </cfRule>
  </conditionalFormatting>
  <conditionalFormatting sqref="Q4750">
    <cfRule type="expression" dxfId="3422" priority="4468" stopIfTrue="1">
      <formula>$Q4750="请输入"</formula>
    </cfRule>
  </conditionalFormatting>
  <conditionalFormatting sqref="I4765">
    <cfRule type="expression" dxfId="3421" priority="1373" stopIfTrue="1">
      <formula>$I4765="适用"</formula>
    </cfRule>
    <cfRule type="expression" dxfId="3420" priority="1374" stopIfTrue="1">
      <formula>$I4765="不适用"</formula>
    </cfRule>
  </conditionalFormatting>
  <conditionalFormatting sqref="Q4878">
    <cfRule type="expression" dxfId="3419" priority="4469" stopIfTrue="1">
      <formula>$Q4878="请输入"</formula>
    </cfRule>
  </conditionalFormatting>
  <conditionalFormatting sqref="I4900">
    <cfRule type="expression" dxfId="3418" priority="1166" stopIfTrue="1">
      <formula>$I4900="适用"</formula>
    </cfRule>
    <cfRule type="expression" dxfId="3417" priority="1167" stopIfTrue="1">
      <formula>$I4900="不适用"</formula>
    </cfRule>
  </conditionalFormatting>
  <conditionalFormatting sqref="Q4915">
    <cfRule type="expression" dxfId="3416" priority="4472" stopIfTrue="1">
      <formula>$Q4915="请输入"</formula>
    </cfRule>
  </conditionalFormatting>
  <conditionalFormatting sqref="Q4928">
    <cfRule type="expression" dxfId="3415" priority="4473" stopIfTrue="1">
      <formula>$Q4928="请输入"</formula>
    </cfRule>
  </conditionalFormatting>
  <conditionalFormatting sqref="H4941">
    <cfRule type="expression" dxfId="3414" priority="4107">
      <formula>AND(H$4941&lt;&gt;0,H$4941&lt;&gt;"")</formula>
    </cfRule>
    <cfRule type="expression" dxfId="3413" priority="4108" stopIfTrue="1">
      <formula>H$4942&lt;&gt;"√"</formula>
    </cfRule>
  </conditionalFormatting>
  <conditionalFormatting sqref="I4941">
    <cfRule type="expression" dxfId="3412" priority="4109">
      <formula>AND(I$4941&lt;&gt;0,I$4941&lt;&gt;"")</formula>
    </cfRule>
    <cfRule type="expression" dxfId="3411" priority="4110" stopIfTrue="1">
      <formula>I$4942&lt;&gt;"√"</formula>
    </cfRule>
  </conditionalFormatting>
  <conditionalFormatting sqref="K4943">
    <cfRule type="expression" dxfId="3410" priority="4111">
      <formula>AND($K$4943&lt;&gt;0,$K$4943&lt;&gt;"")</formula>
    </cfRule>
    <cfRule type="expression" dxfId="3409" priority="4112" stopIfTrue="1">
      <formula>$L$4943&lt;&gt;"√"</formula>
    </cfRule>
  </conditionalFormatting>
  <conditionalFormatting sqref="Q4946">
    <cfRule type="expression" dxfId="3408" priority="4474" stopIfTrue="1">
      <formula>$Q4946="请输入"</formula>
    </cfRule>
  </conditionalFormatting>
  <conditionalFormatting sqref="Q4959">
    <cfRule type="expression" dxfId="3407" priority="4475" stopIfTrue="1">
      <formula>$Q4959="请输入"</formula>
    </cfRule>
  </conditionalFormatting>
  <conditionalFormatting sqref="Q4967">
    <cfRule type="expression" dxfId="3406" priority="4476" stopIfTrue="1">
      <formula>$Q4967="请输入"</formula>
    </cfRule>
  </conditionalFormatting>
  <conditionalFormatting sqref="I4986">
    <cfRule type="expression" dxfId="3405" priority="1365" stopIfTrue="1">
      <formula>$I4986="适用"</formula>
    </cfRule>
    <cfRule type="expression" dxfId="3404" priority="1366" stopIfTrue="1">
      <formula>$I4986="不适用"</formula>
    </cfRule>
  </conditionalFormatting>
  <conditionalFormatting sqref="I5000">
    <cfRule type="expression" dxfId="3403" priority="1359" stopIfTrue="1">
      <formula>$I5000="适用"</formula>
    </cfRule>
    <cfRule type="expression" dxfId="3402" priority="1360" stopIfTrue="1">
      <formula>$I5000="不适用"</formula>
    </cfRule>
  </conditionalFormatting>
  <conditionalFormatting sqref="I5010">
    <cfRule type="expression" dxfId="3401" priority="1353" stopIfTrue="1">
      <formula>$I5010="适用"</formula>
    </cfRule>
    <cfRule type="expression" dxfId="3400" priority="1354" stopIfTrue="1">
      <formula>$I5010="不适用"</formula>
    </cfRule>
  </conditionalFormatting>
  <conditionalFormatting sqref="Q5022">
    <cfRule type="expression" dxfId="3399" priority="4477" stopIfTrue="1">
      <formula>$Q5022="请输入"</formula>
    </cfRule>
  </conditionalFormatting>
  <conditionalFormatting sqref="Q5038">
    <cfRule type="expression" dxfId="3398" priority="4478" stopIfTrue="1">
      <formula>$Q5038="请输入"</formula>
    </cfRule>
  </conditionalFormatting>
  <conditionalFormatting sqref="Q5054">
    <cfRule type="expression" dxfId="3397" priority="4479" stopIfTrue="1">
      <formula>$Q5054="请输入"</formula>
    </cfRule>
  </conditionalFormatting>
  <conditionalFormatting sqref="Q5065">
    <cfRule type="expression" dxfId="3396" priority="4480" stopIfTrue="1">
      <formula>$Q5065="请输入"</formula>
    </cfRule>
  </conditionalFormatting>
  <conditionalFormatting sqref="Q5076">
    <cfRule type="expression" dxfId="3395" priority="4481" stopIfTrue="1">
      <formula>$Q5076="请输入"</formula>
    </cfRule>
  </conditionalFormatting>
  <conditionalFormatting sqref="Q5087">
    <cfRule type="expression" dxfId="3394" priority="4482" stopIfTrue="1">
      <formula>$Q5087="请输入"</formula>
    </cfRule>
  </conditionalFormatting>
  <conditionalFormatting sqref="Q5098">
    <cfRule type="expression" dxfId="3393" priority="4483" stopIfTrue="1">
      <formula>$Q5098="请输入"</formula>
    </cfRule>
  </conditionalFormatting>
  <conditionalFormatting sqref="Q5129">
    <cfRule type="expression" dxfId="3392" priority="4484" stopIfTrue="1">
      <formula>$Q5129="请输入"</formula>
    </cfRule>
  </conditionalFormatting>
  <conditionalFormatting sqref="Q5158">
    <cfRule type="expression" dxfId="3391" priority="4485" stopIfTrue="1">
      <formula>$Q5158="请输入"</formula>
    </cfRule>
  </conditionalFormatting>
  <conditionalFormatting sqref="I5185">
    <cfRule type="expression" dxfId="3390" priority="1923" stopIfTrue="1">
      <formula>$I5185="适用"</formula>
    </cfRule>
    <cfRule type="expression" dxfId="3389" priority="1924" stopIfTrue="1">
      <formula>$I5185="不适用"</formula>
    </cfRule>
  </conditionalFormatting>
  <conditionalFormatting sqref="I5210">
    <cfRule type="expression" dxfId="3388" priority="1915" stopIfTrue="1">
      <formula>$I5210="适用"</formula>
    </cfRule>
    <cfRule type="expression" dxfId="3387" priority="1916" stopIfTrue="1">
      <formula>$I5210="不适用"</formula>
    </cfRule>
  </conditionalFormatting>
  <conditionalFormatting sqref="I5321">
    <cfRule type="expression" dxfId="3386" priority="570" stopIfTrue="1">
      <formula>$I5321="适用"</formula>
    </cfRule>
    <cfRule type="expression" dxfId="3385" priority="571" stopIfTrue="1">
      <formula>$I5321="不适用"</formula>
    </cfRule>
  </conditionalFormatting>
  <conditionalFormatting sqref="I5338">
    <cfRule type="expression" dxfId="3384" priority="567" stopIfTrue="1">
      <formula>$I5338="适用"</formula>
    </cfRule>
    <cfRule type="expression" dxfId="3383" priority="568" stopIfTrue="1">
      <formula>$I5338="不适用"</formula>
    </cfRule>
  </conditionalFormatting>
  <conditionalFormatting sqref="G5297:G5305">
    <cfRule type="expression" dxfId="3382" priority="558">
      <formula>$D5297&gt;1</formula>
    </cfRule>
    <cfRule type="expression" dxfId="3381" priority="559">
      <formula>$C5297="%IN"</formula>
    </cfRule>
    <cfRule type="expression" dxfId="3380" priority="560" stopIfTrue="1">
      <formula>$E5297=0</formula>
    </cfRule>
  </conditionalFormatting>
  <conditionalFormatting sqref="I5355">
    <cfRule type="expression" dxfId="3379" priority="561" stopIfTrue="1">
      <formula>$I5355="适用"</formula>
    </cfRule>
    <cfRule type="expression" dxfId="3378" priority="562" stopIfTrue="1">
      <formula>$I5355="不适用"</formula>
    </cfRule>
  </conditionalFormatting>
  <conditionalFormatting sqref="I5371">
    <cfRule type="expression" dxfId="3377" priority="552" stopIfTrue="1">
      <formula>$I5371="适用"</formula>
    </cfRule>
    <cfRule type="expression" dxfId="3376" priority="553" stopIfTrue="1">
      <formula>$I5371="不适用"</formula>
    </cfRule>
  </conditionalFormatting>
  <conditionalFormatting sqref="I5387">
    <cfRule type="expression" dxfId="3375" priority="546" stopIfTrue="1">
      <formula>$I5387="适用"</formula>
    </cfRule>
    <cfRule type="expression" dxfId="3374" priority="547" stopIfTrue="1">
      <formula>$I5387="不适用"</formula>
    </cfRule>
  </conditionalFormatting>
  <conditionalFormatting sqref="I5421">
    <cfRule type="expression" dxfId="3373" priority="543" stopIfTrue="1">
      <formula>$I5421="适用"</formula>
    </cfRule>
    <cfRule type="expression" dxfId="3372" priority="544" stopIfTrue="1">
      <formula>$I5421="不适用"</formula>
    </cfRule>
  </conditionalFormatting>
  <conditionalFormatting sqref="I5456">
    <cfRule type="expression" dxfId="3371" priority="1859" stopIfTrue="1">
      <formula>$I5456="适用"</formula>
    </cfRule>
    <cfRule type="expression" dxfId="3370" priority="1860" stopIfTrue="1">
      <formula>$I5456="不适用"</formula>
    </cfRule>
  </conditionalFormatting>
  <conditionalFormatting sqref="I5550">
    <cfRule type="expression" dxfId="3369" priority="540" stopIfTrue="1">
      <formula>$I5550="适用"</formula>
    </cfRule>
    <cfRule type="expression" dxfId="3368" priority="541" stopIfTrue="1">
      <formula>$I5550="不适用"</formula>
    </cfRule>
  </conditionalFormatting>
  <conditionalFormatting sqref="I5559">
    <cfRule type="expression" dxfId="3367" priority="537" stopIfTrue="1">
      <formula>$I5559="适用"</formula>
    </cfRule>
    <cfRule type="expression" dxfId="3366" priority="538" stopIfTrue="1">
      <formula>$I5559="不适用"</formula>
    </cfRule>
  </conditionalFormatting>
  <conditionalFormatting sqref="I5577">
    <cfRule type="expression" dxfId="3365" priority="1823" stopIfTrue="1">
      <formula>$I5577="适用"</formula>
    </cfRule>
    <cfRule type="expression" dxfId="3364" priority="1824" stopIfTrue="1">
      <formula>$I5577="不适用"</formula>
    </cfRule>
  </conditionalFormatting>
  <conditionalFormatting sqref="G5587">
    <cfRule type="expression" dxfId="3363" priority="532" stopIfTrue="1">
      <formula>$D5587&gt;1</formula>
    </cfRule>
    <cfRule type="expression" dxfId="3362" priority="533" stopIfTrue="1">
      <formula>$C5587="%IN"</formula>
    </cfRule>
  </conditionalFormatting>
  <conditionalFormatting sqref="G5588">
    <cfRule type="expression" dxfId="3361" priority="530" stopIfTrue="1">
      <formula>$D5588&gt;1</formula>
    </cfRule>
    <cfRule type="expression" dxfId="3360" priority="531" stopIfTrue="1">
      <formula>$C5588="%IN"</formula>
    </cfRule>
  </conditionalFormatting>
  <conditionalFormatting sqref="G5589">
    <cfRule type="expression" dxfId="3359" priority="528" stopIfTrue="1">
      <formula>$D5589&gt;1</formula>
    </cfRule>
    <cfRule type="expression" dxfId="3358" priority="529" stopIfTrue="1">
      <formula>$C5589="%IN"</formula>
    </cfRule>
  </conditionalFormatting>
  <conditionalFormatting sqref="I5776">
    <cfRule type="expression" dxfId="3357" priority="1161" stopIfTrue="1">
      <formula>$I5776="适用"</formula>
    </cfRule>
    <cfRule type="expression" dxfId="3356" priority="1162" stopIfTrue="1">
      <formula>$I5776="不适用"</formula>
    </cfRule>
  </conditionalFormatting>
  <conditionalFormatting sqref="I5806">
    <cfRule type="expression" dxfId="3355" priority="1905" stopIfTrue="1">
      <formula>$I5806="适用"</formula>
    </cfRule>
    <cfRule type="expression" dxfId="3354" priority="1906" stopIfTrue="1">
      <formula>$I5806="不适用"</formula>
    </cfRule>
  </conditionalFormatting>
  <conditionalFormatting sqref="I5838">
    <cfRule type="expression" dxfId="3353" priority="1897" stopIfTrue="1">
      <formula>$I5838="适用"</formula>
    </cfRule>
    <cfRule type="expression" dxfId="3352" priority="1898" stopIfTrue="1">
      <formula>$I5838="不适用"</formula>
    </cfRule>
  </conditionalFormatting>
  <conditionalFormatting sqref="I5848">
    <cfRule type="expression" dxfId="3351" priority="1891" stopIfTrue="1">
      <formula>$I5848="适用"</formula>
    </cfRule>
    <cfRule type="expression" dxfId="3350" priority="1892" stopIfTrue="1">
      <formula>$I5848="不适用"</formula>
    </cfRule>
  </conditionalFormatting>
  <conditionalFormatting sqref="I5858">
    <cfRule type="expression" dxfId="3349" priority="1885" stopIfTrue="1">
      <formula>$I5858="适用"</formula>
    </cfRule>
    <cfRule type="expression" dxfId="3348" priority="1886" stopIfTrue="1">
      <formula>$I5858="不适用"</formula>
    </cfRule>
  </conditionalFormatting>
  <conditionalFormatting sqref="I5870">
    <cfRule type="expression" dxfId="3347" priority="1529" stopIfTrue="1">
      <formula>$I5870="适用"</formula>
    </cfRule>
    <cfRule type="expression" dxfId="3346" priority="1530" stopIfTrue="1">
      <formula>$I5870="不适用"</formula>
    </cfRule>
  </conditionalFormatting>
  <conditionalFormatting sqref="I5881">
    <cfRule type="expression" dxfId="3345" priority="1535" stopIfTrue="1">
      <formula>$I5881="适用"</formula>
    </cfRule>
    <cfRule type="expression" dxfId="3344" priority="1536" stopIfTrue="1">
      <formula>$I5881="不适用"</formula>
    </cfRule>
  </conditionalFormatting>
  <conditionalFormatting sqref="I5892">
    <cfRule type="expression" dxfId="3343" priority="1545" stopIfTrue="1">
      <formula>$I5892="适用"</formula>
    </cfRule>
    <cfRule type="expression" dxfId="3342" priority="1546" stopIfTrue="1">
      <formula>$I5892="不适用"</formula>
    </cfRule>
  </conditionalFormatting>
  <conditionalFormatting sqref="I5903">
    <cfRule type="expression" dxfId="3341" priority="1555" stopIfTrue="1">
      <formula>$I5903="适用"</formula>
    </cfRule>
    <cfRule type="expression" dxfId="3340" priority="1556" stopIfTrue="1">
      <formula>$I5903="不适用"</formula>
    </cfRule>
  </conditionalFormatting>
  <conditionalFormatting sqref="I5914">
    <cfRule type="expression" dxfId="3339" priority="1565" stopIfTrue="1">
      <formula>$I5914="适用"</formula>
    </cfRule>
    <cfRule type="expression" dxfId="3338" priority="1566" stopIfTrue="1">
      <formula>$I5914="不适用"</formula>
    </cfRule>
  </conditionalFormatting>
  <conditionalFormatting sqref="I5925">
    <cfRule type="expression" dxfId="3337" priority="1575" stopIfTrue="1">
      <formula>$I5925="适用"</formula>
    </cfRule>
    <cfRule type="expression" dxfId="3336" priority="1576" stopIfTrue="1">
      <formula>$I5925="不适用"</formula>
    </cfRule>
  </conditionalFormatting>
  <conditionalFormatting sqref="I5936">
    <cfRule type="expression" dxfId="3335" priority="1589" stopIfTrue="1">
      <formula>$I5936="适用"</formula>
    </cfRule>
    <cfRule type="expression" dxfId="3334" priority="1590" stopIfTrue="1">
      <formula>$I5936="不适用"</formula>
    </cfRule>
  </conditionalFormatting>
  <conditionalFormatting sqref="I5947">
    <cfRule type="expression" dxfId="3333" priority="1599" stopIfTrue="1">
      <formula>$I5947="适用"</formula>
    </cfRule>
    <cfRule type="expression" dxfId="3332" priority="1600" stopIfTrue="1">
      <formula>$I5947="不适用"</formula>
    </cfRule>
  </conditionalFormatting>
  <conditionalFormatting sqref="I5958">
    <cfRule type="expression" dxfId="3331" priority="1605" stopIfTrue="1">
      <formula>$I5958="适用"</formula>
    </cfRule>
    <cfRule type="expression" dxfId="3330" priority="1606" stopIfTrue="1">
      <formula>$I5958="不适用"</formula>
    </cfRule>
  </conditionalFormatting>
  <conditionalFormatting sqref="I5998">
    <cfRule type="expression" dxfId="3329" priority="1627" stopIfTrue="1">
      <formula>$I5998="适用"</formula>
    </cfRule>
    <cfRule type="expression" dxfId="3328" priority="1628" stopIfTrue="1">
      <formula>$I5998="不适用"</formula>
    </cfRule>
  </conditionalFormatting>
  <conditionalFormatting sqref="I6009">
    <cfRule type="expression" dxfId="3327" priority="1637" stopIfTrue="1">
      <formula>$I6009="适用"</formula>
    </cfRule>
    <cfRule type="expression" dxfId="3326" priority="1638" stopIfTrue="1">
      <formula>$I6009="不适用"</formula>
    </cfRule>
  </conditionalFormatting>
  <conditionalFormatting sqref="I6021">
    <cfRule type="expression" dxfId="3325" priority="1647" stopIfTrue="1">
      <formula>$I6021="适用"</formula>
    </cfRule>
    <cfRule type="expression" dxfId="3324" priority="1648" stopIfTrue="1">
      <formula>$I6021="不适用"</formula>
    </cfRule>
  </conditionalFormatting>
  <conditionalFormatting sqref="I6033">
    <cfRule type="expression" dxfId="3323" priority="1657" stopIfTrue="1">
      <formula>$I6033="适用"</formula>
    </cfRule>
    <cfRule type="expression" dxfId="3322" priority="1658" stopIfTrue="1">
      <formula>$I6033="不适用"</formula>
    </cfRule>
  </conditionalFormatting>
  <conditionalFormatting sqref="G540:G550">
    <cfRule type="expression" dxfId="3321" priority="4758">
      <formula>$D540&gt;1</formula>
    </cfRule>
    <cfRule type="expression" dxfId="3320" priority="4759">
      <formula>$C540="%IN"</formula>
    </cfRule>
    <cfRule type="expression" dxfId="3319" priority="4760" stopIfTrue="1">
      <formula>$E540=0</formula>
    </cfRule>
  </conditionalFormatting>
  <conditionalFormatting sqref="G864:G869">
    <cfRule type="expression" dxfId="3318" priority="4686">
      <formula>$D864&gt;1</formula>
    </cfRule>
    <cfRule type="expression" dxfId="3317" priority="4687">
      <formula>$C864="%IN"</formula>
    </cfRule>
    <cfRule type="expression" dxfId="3316" priority="4688" stopIfTrue="1">
      <formula>$E864=0</formula>
    </cfRule>
  </conditionalFormatting>
  <conditionalFormatting sqref="G937:G941">
    <cfRule type="expression" dxfId="3315" priority="4587">
      <formula>$D937&gt;1</formula>
    </cfRule>
    <cfRule type="expression" dxfId="3314" priority="4588">
      <formula>$C937="%IN"</formula>
    </cfRule>
    <cfRule type="expression" dxfId="3313" priority="4589" stopIfTrue="1">
      <formula>$E937=0</formula>
    </cfRule>
  </conditionalFormatting>
  <conditionalFormatting sqref="G1685:G1690">
    <cfRule type="expression" dxfId="3312" priority="3221" stopIfTrue="1">
      <formula>$D1685&gt;1</formula>
    </cfRule>
    <cfRule type="expression" dxfId="3311" priority="3222" stopIfTrue="1">
      <formula>$C1685="%IN"</formula>
    </cfRule>
  </conditionalFormatting>
  <conditionalFormatting sqref="G1702:G1707">
    <cfRule type="expression" dxfId="3310" priority="3223" stopIfTrue="1">
      <formula>$D1702&gt;1</formula>
    </cfRule>
    <cfRule type="expression" dxfId="3309" priority="3224" stopIfTrue="1">
      <formula>$C1702="%IN"</formula>
    </cfRule>
  </conditionalFormatting>
  <conditionalFormatting sqref="G1828:G1836">
    <cfRule type="expression" dxfId="3308" priority="4785">
      <formula>$D1828&gt;1</formula>
    </cfRule>
    <cfRule type="expression" dxfId="3307" priority="4786">
      <formula>$C1828="%IN"</formula>
    </cfRule>
    <cfRule type="expression" dxfId="3306" priority="4787" stopIfTrue="1">
      <formula>$E1828=0</formula>
    </cfRule>
  </conditionalFormatting>
  <conditionalFormatting sqref="G1843:G1851">
    <cfRule type="expression" dxfId="3305" priority="4788">
      <formula>$D1843&gt;1</formula>
    </cfRule>
    <cfRule type="expression" dxfId="3304" priority="4789">
      <formula>$C1843="%IN"</formula>
    </cfRule>
    <cfRule type="expression" dxfId="3303" priority="4790" stopIfTrue="1">
      <formula>$E1843=0</formula>
    </cfRule>
  </conditionalFormatting>
  <conditionalFormatting sqref="G2162:G2169">
    <cfRule type="expression" dxfId="3302" priority="3783" stopIfTrue="1">
      <formula>$D2162&gt;1</formula>
    </cfRule>
    <cfRule type="expression" dxfId="3301" priority="3784" stopIfTrue="1">
      <formula>$C2162="%IN"</formula>
    </cfRule>
  </conditionalFormatting>
  <conditionalFormatting sqref="G2174:G2179">
    <cfRule type="expression" dxfId="3300" priority="3651" stopIfTrue="1">
      <formula>$D2174&gt;1</formula>
    </cfRule>
    <cfRule type="expression" dxfId="3299" priority="3652" stopIfTrue="1">
      <formula>$C2174="%IN"</formula>
    </cfRule>
  </conditionalFormatting>
  <conditionalFormatting sqref="G2354:G2366">
    <cfRule type="expression" dxfId="3298" priority="4893">
      <formula>$D2354&gt;1</formula>
    </cfRule>
    <cfRule type="expression" dxfId="3297" priority="4894">
      <formula>$C2354="%IN"</formula>
    </cfRule>
    <cfRule type="expression" dxfId="3296" priority="4895" stopIfTrue="1">
      <formula>$E2354=0</formula>
    </cfRule>
  </conditionalFormatting>
  <conditionalFormatting sqref="G2500:G2504">
    <cfRule type="expression" dxfId="3295" priority="5144">
      <formula>$D2500&gt;1</formula>
    </cfRule>
    <cfRule type="expression" dxfId="3294" priority="5145">
      <formula>$C2500="%IN"</formula>
    </cfRule>
    <cfRule type="expression" dxfId="3293" priority="5146" stopIfTrue="1">
      <formula>$E2500=0</formula>
    </cfRule>
  </conditionalFormatting>
  <conditionalFormatting sqref="G2523:G2528">
    <cfRule type="expression" dxfId="3292" priority="5147">
      <formula>$D2523&gt;1</formula>
    </cfRule>
    <cfRule type="expression" dxfId="3291" priority="5148">
      <formula>$C2523="%IN"</formula>
    </cfRule>
    <cfRule type="expression" dxfId="3290" priority="5149" stopIfTrue="1">
      <formula>$E2523=0</formula>
    </cfRule>
  </conditionalFormatting>
  <conditionalFormatting sqref="G2621:G2626">
    <cfRule type="expression" dxfId="3289" priority="5001">
      <formula>$D2621&gt;1</formula>
    </cfRule>
    <cfRule type="expression" dxfId="3288" priority="5002">
      <formula>$C2621="%IN"</formula>
    </cfRule>
    <cfRule type="expression" dxfId="3287" priority="5003" stopIfTrue="1">
      <formula>$E2621=0</formula>
    </cfRule>
  </conditionalFormatting>
  <conditionalFormatting sqref="G2642:G2645">
    <cfRule type="expression" dxfId="3286" priority="5150">
      <formula>$D2642&gt;1</formula>
    </cfRule>
    <cfRule type="expression" dxfId="3285" priority="5151">
      <formula>$C2642="%IN"</formula>
    </cfRule>
    <cfRule type="expression" dxfId="3284" priority="5152" stopIfTrue="1">
      <formula>$E2642=0</formula>
    </cfRule>
  </conditionalFormatting>
  <conditionalFormatting sqref="G2800:G2808">
    <cfRule type="expression" dxfId="3283" priority="5153">
      <formula>$D2800&gt;1</formula>
    </cfRule>
    <cfRule type="expression" dxfId="3282" priority="5154">
      <formula>$C2800="%IN"</formula>
    </cfRule>
    <cfRule type="expression" dxfId="3281" priority="5155" stopIfTrue="1">
      <formula>$E2800=0</formula>
    </cfRule>
  </conditionalFormatting>
  <conditionalFormatting sqref="G2824:G2827">
    <cfRule type="expression" dxfId="3280" priority="5156">
      <formula>$D2824&gt;1</formula>
    </cfRule>
    <cfRule type="expression" dxfId="3279" priority="5157">
      <formula>$C2824="%IN"</formula>
    </cfRule>
    <cfRule type="expression" dxfId="3278" priority="5158" stopIfTrue="1">
      <formula>$E2824=0</formula>
    </cfRule>
  </conditionalFormatting>
  <conditionalFormatting sqref="G2913:G2917">
    <cfRule type="expression" dxfId="3277" priority="4956">
      <formula>$D2913&gt;1</formula>
    </cfRule>
    <cfRule type="expression" dxfId="3276" priority="4957">
      <formula>$C2913="%IN"</formula>
    </cfRule>
    <cfRule type="expression" dxfId="3275" priority="4958" stopIfTrue="1">
      <formula>$E2913=0</formula>
    </cfRule>
  </conditionalFormatting>
  <conditionalFormatting sqref="G3180:G3185">
    <cfRule type="expression" dxfId="3274" priority="3701" stopIfTrue="1">
      <formula>$D3180&gt;1</formula>
    </cfRule>
    <cfRule type="expression" dxfId="3273" priority="3702" stopIfTrue="1">
      <formula>$C3180="%IN"</formula>
    </cfRule>
  </conditionalFormatting>
  <conditionalFormatting sqref="G3218:G3223">
    <cfRule type="expression" dxfId="3272" priority="4965">
      <formula>$D3218&gt;1</formula>
    </cfRule>
    <cfRule type="expression" dxfId="3271" priority="4966">
      <formula>$C3218="%IN"</formula>
    </cfRule>
    <cfRule type="expression" dxfId="3270" priority="4967" stopIfTrue="1">
      <formula>$E3218=0</formula>
    </cfRule>
  </conditionalFormatting>
  <conditionalFormatting sqref="G3228:G3235">
    <cfRule type="expression" dxfId="3269" priority="3925" stopIfTrue="1">
      <formula>$D3228&gt;1</formula>
    </cfRule>
    <cfRule type="expression" dxfId="3268" priority="3926" stopIfTrue="1">
      <formula>$C3228="%IN"</formula>
    </cfRule>
  </conditionalFormatting>
  <conditionalFormatting sqref="G3309:G3316">
    <cfRule type="expression" dxfId="3267" priority="5168">
      <formula>$D3309&gt;1</formula>
    </cfRule>
    <cfRule type="expression" dxfId="3266" priority="5169">
      <formula>$C3309="%IN"</formula>
    </cfRule>
    <cfRule type="expression" dxfId="3265" priority="5170" stopIfTrue="1">
      <formula>$E3309=0</formula>
    </cfRule>
  </conditionalFormatting>
  <conditionalFormatting sqref="G3322:G3327">
    <cfRule type="expression" dxfId="3264" priority="5171">
      <formula>$D3322&gt;1</formula>
    </cfRule>
    <cfRule type="expression" dxfId="3263" priority="5172">
      <formula>$C3322="%IN"</formula>
    </cfRule>
    <cfRule type="expression" dxfId="3262" priority="5173" stopIfTrue="1">
      <formula>$E3322=0</formula>
    </cfRule>
  </conditionalFormatting>
  <conditionalFormatting sqref="G3384:G3392">
    <cfRule type="expression" dxfId="3261" priority="4974">
      <formula>$D3384&gt;1</formula>
    </cfRule>
    <cfRule type="expression" dxfId="3260" priority="4975">
      <formula>$C3384="%IN"</formula>
    </cfRule>
    <cfRule type="expression" dxfId="3259" priority="4976" stopIfTrue="1">
      <formula>$E3384=0</formula>
    </cfRule>
  </conditionalFormatting>
  <conditionalFormatting sqref="G3397:G3405">
    <cfRule type="expression" dxfId="3258" priority="4977">
      <formula>$D3397&gt;1</formula>
    </cfRule>
    <cfRule type="expression" dxfId="3257" priority="4978">
      <formula>$C3397="%IN"</formula>
    </cfRule>
    <cfRule type="expression" dxfId="3256" priority="4979" stopIfTrue="1">
      <formula>$E3397=0</formula>
    </cfRule>
  </conditionalFormatting>
  <conditionalFormatting sqref="G3424:G3429">
    <cfRule type="expression" dxfId="3255" priority="5177">
      <formula>$D3424&gt;1</formula>
    </cfRule>
    <cfRule type="expression" dxfId="3254" priority="5178">
      <formula>$C3424="%IN"</formula>
    </cfRule>
    <cfRule type="expression" dxfId="3253" priority="5179" stopIfTrue="1">
      <formula>$E3424=0</formula>
    </cfRule>
  </conditionalFormatting>
  <conditionalFormatting sqref="G3435:G3439">
    <cfRule type="expression" dxfId="3252" priority="5180">
      <formula>$D3435&gt;1</formula>
    </cfRule>
    <cfRule type="expression" dxfId="3251" priority="5181">
      <formula>$C3435="%IN"</formula>
    </cfRule>
    <cfRule type="expression" dxfId="3250" priority="5182" stopIfTrue="1">
      <formula>$E3435=0</formula>
    </cfRule>
  </conditionalFormatting>
  <conditionalFormatting sqref="G3534:G3539">
    <cfRule type="expression" dxfId="3249" priority="5186">
      <formula>$D3534&gt;1</formula>
    </cfRule>
    <cfRule type="expression" dxfId="3248" priority="5187">
      <formula>$C3534="%IN"</formula>
    </cfRule>
    <cfRule type="expression" dxfId="3247" priority="5188" stopIfTrue="1">
      <formula>$E3534=0</formula>
    </cfRule>
  </conditionalFormatting>
  <conditionalFormatting sqref="G3561:G3566">
    <cfRule type="expression" dxfId="3246" priority="3365" stopIfTrue="1">
      <formula>$D3561&gt;1</formula>
    </cfRule>
    <cfRule type="expression" dxfId="3245" priority="3366" stopIfTrue="1">
      <formula>$C3561="%IN"</formula>
    </cfRule>
  </conditionalFormatting>
  <conditionalFormatting sqref="G3601:G3615">
    <cfRule type="expression" dxfId="3244" priority="3919" stopIfTrue="1">
      <formula>$D3601&gt;1</formula>
    </cfRule>
    <cfRule type="expression" dxfId="3243" priority="3920" stopIfTrue="1">
      <formula>$C3601="%IN"</formula>
    </cfRule>
  </conditionalFormatting>
  <conditionalFormatting sqref="G3730:G3744">
    <cfRule type="expression" dxfId="3242" priority="646" stopIfTrue="1">
      <formula>$D3730&gt;1</formula>
    </cfRule>
    <cfRule type="expression" dxfId="3241" priority="647" stopIfTrue="1">
      <formula>$C3730="%IN"</formula>
    </cfRule>
  </conditionalFormatting>
  <conditionalFormatting sqref="G3749:G3757">
    <cfRule type="expression" dxfId="3240" priority="3947" stopIfTrue="1">
      <formula>$D3749&gt;1</formula>
    </cfRule>
    <cfRule type="expression" dxfId="3239" priority="3948" stopIfTrue="1">
      <formula>$C3749="%IN"</formula>
    </cfRule>
  </conditionalFormatting>
  <conditionalFormatting sqref="G3763:G3767">
    <cfRule type="expression" dxfId="3238" priority="5192">
      <formula>$D3763&gt;1</formula>
    </cfRule>
    <cfRule type="expression" dxfId="3237" priority="5193">
      <formula>$C3763="%IN"</formula>
    </cfRule>
    <cfRule type="expression" dxfId="3236" priority="5194" stopIfTrue="1">
      <formula>$E3763=0</formula>
    </cfRule>
  </conditionalFormatting>
  <conditionalFormatting sqref="G3821:G3826">
    <cfRule type="expression" dxfId="3235" priority="3743" stopIfTrue="1">
      <formula>$D3821&gt;1</formula>
    </cfRule>
    <cfRule type="expression" dxfId="3234" priority="3744" stopIfTrue="1">
      <formula>$C3821="%IN"</formula>
    </cfRule>
  </conditionalFormatting>
  <conditionalFormatting sqref="G3899:G3913">
    <cfRule type="expression" dxfId="3233" priority="3923" stopIfTrue="1">
      <formula>$D3899&gt;1</formula>
    </cfRule>
    <cfRule type="expression" dxfId="3232" priority="3924" stopIfTrue="1">
      <formula>$C3899="%IN"</formula>
    </cfRule>
  </conditionalFormatting>
  <conditionalFormatting sqref="G3919:G3924">
    <cfRule type="expression" dxfId="3231" priority="5207">
      <formula>$D3919&gt;1</formula>
    </cfRule>
    <cfRule type="expression" dxfId="3230" priority="5208">
      <formula>$C3919="%IN"</formula>
    </cfRule>
    <cfRule type="expression" dxfId="3229" priority="5209" stopIfTrue="1">
      <formula>$E3919=0</formula>
    </cfRule>
  </conditionalFormatting>
  <conditionalFormatting sqref="G3971:G3977">
    <cfRule type="expression" dxfId="3228" priority="5213">
      <formula>$D3971&gt;1</formula>
    </cfRule>
    <cfRule type="expression" dxfId="3227" priority="5214">
      <formula>$C3971="%IN"</formula>
    </cfRule>
    <cfRule type="expression" dxfId="3226" priority="5215" stopIfTrue="1">
      <formula>$E3971=0</formula>
    </cfRule>
  </conditionalFormatting>
  <conditionalFormatting sqref="G3982:G3987">
    <cfRule type="expression" dxfId="3225" priority="3755" stopIfTrue="1">
      <formula>$D3982&gt;1</formula>
    </cfRule>
    <cfRule type="expression" dxfId="3224" priority="3756" stopIfTrue="1">
      <formula>$C3982="%IN"</formula>
    </cfRule>
  </conditionalFormatting>
  <conditionalFormatting sqref="G4054:G4059">
    <cfRule type="expression" dxfId="3223" priority="5219">
      <formula>$D4054&gt;1</formula>
    </cfRule>
    <cfRule type="expression" dxfId="3222" priority="5220">
      <formula>$C4054="%IN"</formula>
    </cfRule>
    <cfRule type="expression" dxfId="3221" priority="5221" stopIfTrue="1">
      <formula>$E4054=0</formula>
    </cfRule>
  </conditionalFormatting>
  <conditionalFormatting sqref="G4064:G4072">
    <cfRule type="expression" dxfId="3220" priority="3757" stopIfTrue="1">
      <formula>$D4064&gt;1</formula>
    </cfRule>
    <cfRule type="expression" dxfId="3219" priority="3758" stopIfTrue="1">
      <formula>$C4064="%IN"</formula>
    </cfRule>
  </conditionalFormatting>
  <conditionalFormatting sqref="G4089:G4094">
    <cfRule type="expression" dxfId="3218" priority="3875" stopIfTrue="1">
      <formula>$D4089&gt;1</formula>
    </cfRule>
    <cfRule type="expression" dxfId="3217" priority="3876" stopIfTrue="1">
      <formula>$C4089="%IN"</formula>
    </cfRule>
  </conditionalFormatting>
  <conditionalFormatting sqref="G4110:G4115">
    <cfRule type="expression" dxfId="3216" priority="5222">
      <formula>$D4110&gt;1</formula>
    </cfRule>
    <cfRule type="expression" dxfId="3215" priority="5223">
      <formula>$C4110="%IN"</formula>
    </cfRule>
    <cfRule type="expression" dxfId="3214" priority="5224" stopIfTrue="1">
      <formula>$E4110=0</formula>
    </cfRule>
  </conditionalFormatting>
  <conditionalFormatting sqref="G4250:G4258">
    <cfRule type="expression" dxfId="3213" priority="5243">
      <formula>$D4250&gt;1</formula>
    </cfRule>
    <cfRule type="expression" dxfId="3212" priority="5244">
      <formula>$C4250="%IN"</formula>
    </cfRule>
    <cfRule type="expression" dxfId="3211" priority="5245" stopIfTrue="1">
      <formula>$E4250=0</formula>
    </cfRule>
  </conditionalFormatting>
  <conditionalFormatting sqref="G4427:G4435">
    <cfRule type="expression" dxfId="3210" priority="5025">
      <formula>$D4427&gt;1</formula>
    </cfRule>
    <cfRule type="expression" dxfId="3209" priority="5026">
      <formula>$C4427="%IN"</formula>
    </cfRule>
    <cfRule type="expression" dxfId="3208" priority="5027" stopIfTrue="1">
      <formula>$E4427=0</formula>
    </cfRule>
  </conditionalFormatting>
  <conditionalFormatting sqref="G4460:G4472">
    <cfRule type="expression" dxfId="3207" priority="5249">
      <formula>$D4460&gt;1</formula>
    </cfRule>
    <cfRule type="expression" dxfId="3206" priority="5250">
      <formula>$C4460="%IN"</formula>
    </cfRule>
    <cfRule type="expression" dxfId="3205" priority="5251" stopIfTrue="1">
      <formula>$E4460=0</formula>
    </cfRule>
  </conditionalFormatting>
  <conditionalFormatting sqref="G5161:G5172">
    <cfRule type="expression" dxfId="3204" priority="4155" stopIfTrue="1">
      <formula>$D5161&gt;1</formula>
    </cfRule>
    <cfRule type="expression" dxfId="3203" priority="4156" stopIfTrue="1">
      <formula>$C5161="%IN"</formula>
    </cfRule>
    <cfRule type="expression" dxfId="3202" priority="4157" stopIfTrue="1">
      <formula>$E5161=0</formula>
    </cfRule>
  </conditionalFormatting>
  <conditionalFormatting sqref="G5360:G5369">
    <cfRule type="expression" dxfId="3201" priority="5055">
      <formula>$D5360&gt;1</formula>
    </cfRule>
    <cfRule type="expression" dxfId="3200" priority="5056">
      <formula>$C5360="%IN"</formula>
    </cfRule>
    <cfRule type="expression" dxfId="3199" priority="5057" stopIfTrue="1">
      <formula>$E5360=0</formula>
    </cfRule>
  </conditionalFormatting>
  <conditionalFormatting sqref="G5376:G5385">
    <cfRule type="expression" dxfId="3198" priority="5058">
      <formula>$D5376&gt;1</formula>
    </cfRule>
    <cfRule type="expression" dxfId="3197" priority="5059">
      <formula>$C5376="%IN"</formula>
    </cfRule>
    <cfRule type="expression" dxfId="3196" priority="5060" stopIfTrue="1">
      <formula>$E5376=0</formula>
    </cfRule>
  </conditionalFormatting>
  <conditionalFormatting sqref="G5562:G5575">
    <cfRule type="expression" dxfId="3195" priority="5073">
      <formula>$D5562&gt;1</formula>
    </cfRule>
    <cfRule type="expression" dxfId="3194" priority="5074">
      <formula>$C5562="%IN"</formula>
    </cfRule>
    <cfRule type="expression" dxfId="3193" priority="5075" stopIfTrue="1">
      <formula>$E5562=0</formula>
    </cfRule>
  </conditionalFormatting>
  <conditionalFormatting sqref="G5582:G5586">
    <cfRule type="expression" dxfId="3192" priority="1821" stopIfTrue="1">
      <formula>$D5582&gt;1</formula>
    </cfRule>
    <cfRule type="expression" dxfId="3191" priority="1822" stopIfTrue="1">
      <formula>$C5582="%IN"</formula>
    </cfRule>
  </conditionalFormatting>
  <conditionalFormatting sqref="G5779:G5795">
    <cfRule type="expression" dxfId="3190" priority="4581">
      <formula>$D5779&gt;1</formula>
    </cfRule>
    <cfRule type="expression" dxfId="3189" priority="4582">
      <formula>$C5779="%IN"</formula>
    </cfRule>
    <cfRule type="expression" dxfId="3188" priority="4583" stopIfTrue="1">
      <formula>$E5779=0</formula>
    </cfRule>
  </conditionalFormatting>
  <conditionalFormatting sqref="G5809:G5836">
    <cfRule type="expression" dxfId="3187" priority="5097">
      <formula>$D5809&gt;1</formula>
    </cfRule>
    <cfRule type="expression" dxfId="3186" priority="5098">
      <formula>$C5809="%IN"</formula>
    </cfRule>
    <cfRule type="expression" dxfId="3185" priority="5099" stopIfTrue="1">
      <formula>$E5809=0</formula>
    </cfRule>
  </conditionalFormatting>
  <conditionalFormatting sqref="G5841:G5846">
    <cfRule type="expression" dxfId="3184" priority="3827" stopIfTrue="1">
      <formula>$D5841&gt;1</formula>
    </cfRule>
    <cfRule type="expression" dxfId="3183" priority="3828" stopIfTrue="1">
      <formula>$C5841="%IN"</formula>
    </cfRule>
  </conditionalFormatting>
  <conditionalFormatting sqref="I5935:I5945">
    <cfRule type="expression" dxfId="3182" priority="1593" stopIfTrue="1">
      <formula>$I5935="适用"</formula>
    </cfRule>
    <cfRule type="expression" dxfId="3181" priority="1594" stopIfTrue="1">
      <formula>$I5935="不适用"</formula>
    </cfRule>
  </conditionalFormatting>
  <conditionalFormatting sqref="I5946:I5956">
    <cfRule type="expression" dxfId="3180" priority="1603" stopIfTrue="1">
      <formula>$I5946="适用"</formula>
    </cfRule>
    <cfRule type="expression" dxfId="3179" priority="1604" stopIfTrue="1">
      <formula>$I5946="不适用"</formula>
    </cfRule>
  </conditionalFormatting>
  <conditionalFormatting sqref="I5957:I5975">
    <cfRule type="expression" dxfId="3178" priority="1613" stopIfTrue="1">
      <formula>$I5957="适用"</formula>
    </cfRule>
    <cfRule type="expression" dxfId="3177" priority="1614" stopIfTrue="1">
      <formula>$I5957="不适用"</formula>
    </cfRule>
  </conditionalFormatting>
  <conditionalFormatting sqref="I5976:I5996">
    <cfRule type="expression" dxfId="3176" priority="1621" stopIfTrue="1">
      <formula>$I5976="适用"</formula>
    </cfRule>
    <cfRule type="expression" dxfId="3175" priority="1622" stopIfTrue="1">
      <formula>$I5976="不适用"</formula>
    </cfRule>
  </conditionalFormatting>
  <conditionalFormatting sqref="I5997:I6007">
    <cfRule type="expression" dxfId="3174" priority="1631" stopIfTrue="1">
      <formula>$I5997="适用"</formula>
    </cfRule>
    <cfRule type="expression" dxfId="3173" priority="1632" stopIfTrue="1">
      <formula>$I5997="不适用"</formula>
    </cfRule>
  </conditionalFormatting>
  <conditionalFormatting sqref="I6008:I6019">
    <cfRule type="expression" dxfId="3172" priority="1641" stopIfTrue="1">
      <formula>$I6008="适用"</formula>
    </cfRule>
    <cfRule type="expression" dxfId="3171" priority="1642" stopIfTrue="1">
      <formula>$I6008="不适用"</formula>
    </cfRule>
  </conditionalFormatting>
  <conditionalFormatting sqref="I6020:I6031">
    <cfRule type="expression" dxfId="3170" priority="1651" stopIfTrue="1">
      <formula>$I6020="适用"</formula>
    </cfRule>
    <cfRule type="expression" dxfId="3169" priority="1652" stopIfTrue="1">
      <formula>$I6020="不适用"</formula>
    </cfRule>
  </conditionalFormatting>
  <conditionalFormatting sqref="I6032:I6053">
    <cfRule type="expression" dxfId="3168" priority="1661" stopIfTrue="1">
      <formula>$I6032="适用"</formula>
    </cfRule>
    <cfRule type="expression" dxfId="3167" priority="1662" stopIfTrue="1">
      <formula>$I6032="不适用"</formula>
    </cfRule>
  </conditionalFormatting>
  <conditionalFormatting sqref="J5937:J5944">
    <cfRule type="expression" dxfId="3166" priority="1587" stopIfTrue="1">
      <formula>$J5937="适用"</formula>
    </cfRule>
    <cfRule type="expression" dxfId="3165" priority="1588" stopIfTrue="1">
      <formula>$J5937="不适用"</formula>
    </cfRule>
  </conditionalFormatting>
  <conditionalFormatting sqref="J5948:J5955">
    <cfRule type="expression" dxfId="3164" priority="1597" stopIfTrue="1">
      <formula>$J5948="适用"</formula>
    </cfRule>
    <cfRule type="expression" dxfId="3163" priority="1598" stopIfTrue="1">
      <formula>$J5948="不适用"</formula>
    </cfRule>
  </conditionalFormatting>
  <conditionalFormatting sqref="J5959:J5974">
    <cfRule type="expression" dxfId="3162" priority="1607" stopIfTrue="1">
      <formula>$J5959="适用"</formula>
    </cfRule>
    <cfRule type="expression" dxfId="3161" priority="1608" stopIfTrue="1">
      <formula>$J5959="不适用"</formula>
    </cfRule>
  </conditionalFormatting>
  <conditionalFormatting sqref="J5978:J5995">
    <cfRule type="expression" dxfId="3160" priority="1617" stopIfTrue="1">
      <formula>$J5978="适用"</formula>
    </cfRule>
    <cfRule type="expression" dxfId="3159" priority="1618" stopIfTrue="1">
      <formula>$J5978="不适用"</formula>
    </cfRule>
  </conditionalFormatting>
  <conditionalFormatting sqref="J5999:J6006">
    <cfRule type="expression" dxfId="3158" priority="1625" stopIfTrue="1">
      <formula>$J5999="适用"</formula>
    </cfRule>
    <cfRule type="expression" dxfId="3157" priority="1626" stopIfTrue="1">
      <formula>$J5999="不适用"</formula>
    </cfRule>
  </conditionalFormatting>
  <conditionalFormatting sqref="J6010:J6018">
    <cfRule type="expression" dxfId="3156" priority="1635" stopIfTrue="1">
      <formula>$J6010="适用"</formula>
    </cfRule>
    <cfRule type="expression" dxfId="3155" priority="1636" stopIfTrue="1">
      <formula>$J6010="不适用"</formula>
    </cfRule>
  </conditionalFormatting>
  <conditionalFormatting sqref="J6022:J6030">
    <cfRule type="expression" dxfId="3154" priority="1645" stopIfTrue="1">
      <formula>$J6022="适用"</formula>
    </cfRule>
    <cfRule type="expression" dxfId="3153" priority="1646" stopIfTrue="1">
      <formula>$J6022="不适用"</formula>
    </cfRule>
  </conditionalFormatting>
  <conditionalFormatting sqref="Q317:Q333">
    <cfRule type="expression" dxfId="3152" priority="947" stopIfTrue="1">
      <formula>$Q317="请输入"</formula>
    </cfRule>
  </conditionalFormatting>
  <conditionalFormatting sqref="Q334:Q355">
    <cfRule type="expression" dxfId="3151" priority="941" stopIfTrue="1">
      <formula>$Q334="请输入"</formula>
    </cfRule>
  </conditionalFormatting>
  <conditionalFormatting sqref="Q356:Q377">
    <cfRule type="expression" dxfId="3150" priority="935" stopIfTrue="1">
      <formula>$Q356="请输入"</formula>
    </cfRule>
  </conditionalFormatting>
  <conditionalFormatting sqref="Q378:Q399">
    <cfRule type="expression" dxfId="3149" priority="929" stopIfTrue="1">
      <formula>$Q378="请输入"</formula>
    </cfRule>
  </conditionalFormatting>
  <conditionalFormatting sqref="Q400:Q414">
    <cfRule type="expression" dxfId="3148" priority="919" stopIfTrue="1">
      <formula>$Q400="请输入"</formula>
    </cfRule>
  </conditionalFormatting>
  <conditionalFormatting sqref="Q579:Q600">
    <cfRule type="expression" dxfId="3147" priority="913" stopIfTrue="1">
      <formula>$Q579="请输入"</formula>
    </cfRule>
  </conditionalFormatting>
  <conditionalFormatting sqref="Q706">
    <cfRule type="expression" dxfId="3146" priority="1014" stopIfTrue="1">
      <formula>$Q706="请输入"</formula>
    </cfRule>
  </conditionalFormatting>
  <conditionalFormatting sqref="Q1219:Q1306">
    <cfRule type="expression" dxfId="3145" priority="976" stopIfTrue="1">
      <formula>$Q1219="请输入"</formula>
    </cfRule>
  </conditionalFormatting>
  <conditionalFormatting sqref="Q1823:Q1837">
    <cfRule type="expression" dxfId="3144" priority="886" stopIfTrue="1">
      <formula>$Q1823="请输入"</formula>
    </cfRule>
  </conditionalFormatting>
  <conditionalFormatting sqref="Q1838:Q1852">
    <cfRule type="expression" dxfId="3143" priority="883" stopIfTrue="1">
      <formula>$Q1838="请输入"</formula>
    </cfRule>
  </conditionalFormatting>
  <conditionalFormatting sqref="Q1976:Q1985 Q1971 Q1973">
    <cfRule type="expression" dxfId="3142" priority="832" stopIfTrue="1">
      <formula>$Q1971="请输入"</formula>
    </cfRule>
  </conditionalFormatting>
  <conditionalFormatting sqref="Q1986:Q2000">
    <cfRule type="expression" dxfId="3141" priority="829" stopIfTrue="1">
      <formula>$Q1986="请输入"</formula>
    </cfRule>
  </conditionalFormatting>
  <conditionalFormatting sqref="Q2039:Q2041">
    <cfRule type="expression" dxfId="3140" priority="817" stopIfTrue="1">
      <formula>$Q2039="请输入"</formula>
    </cfRule>
  </conditionalFormatting>
  <conditionalFormatting sqref="Q2048:Q2062">
    <cfRule type="expression" dxfId="3139" priority="816" stopIfTrue="1">
      <formula>$Q2048="请输入"</formula>
    </cfRule>
  </conditionalFormatting>
  <conditionalFormatting sqref="Q2137:Q2155">
    <cfRule type="expression" dxfId="3138" priority="801" stopIfTrue="1">
      <formula>$Q2137="请输入"</formula>
    </cfRule>
  </conditionalFormatting>
  <conditionalFormatting sqref="Q2234:Q2246">
    <cfRule type="expression" dxfId="3137" priority="777" stopIfTrue="1">
      <formula>$Q2234="请输入"</formula>
    </cfRule>
  </conditionalFormatting>
  <conditionalFormatting sqref="Q2247:Q2259">
    <cfRule type="expression" dxfId="3136" priority="774" stopIfTrue="1">
      <formula>$Q2247="请输入"</formula>
    </cfRule>
  </conditionalFormatting>
  <conditionalFormatting sqref="Q2260:Q2272">
    <cfRule type="expression" dxfId="3135" priority="768" stopIfTrue="1">
      <formula>$Q2260="请输入"</formula>
    </cfRule>
  </conditionalFormatting>
  <conditionalFormatting sqref="Q2293:Q2314">
    <cfRule type="expression" dxfId="3134" priority="747" stopIfTrue="1">
      <formula>$Q2293="请输入"</formula>
    </cfRule>
  </conditionalFormatting>
  <conditionalFormatting sqref="Q2349:Q2367">
    <cfRule type="expression" dxfId="3133" priority="744" stopIfTrue="1">
      <formula>$Q2349="请输入"</formula>
    </cfRule>
  </conditionalFormatting>
  <conditionalFormatting sqref="Q2506:Q2518">
    <cfRule type="expression" dxfId="3132" priority="726" stopIfTrue="1">
      <formula>$Q2506="请输入"</formula>
    </cfRule>
  </conditionalFormatting>
  <conditionalFormatting sqref="Q2797:Q2809">
    <cfRule type="expression" dxfId="3131" priority="687" stopIfTrue="1">
      <formula>$Q2797="请输入"</formula>
    </cfRule>
  </conditionalFormatting>
  <conditionalFormatting sqref="Q2877:Q2896">
    <cfRule type="expression" dxfId="3130" priority="678" stopIfTrue="1">
      <formula>$Q2877="请输入"</formula>
    </cfRule>
  </conditionalFormatting>
  <conditionalFormatting sqref="Q2908:Q2917">
    <cfRule type="expression" dxfId="3129" priority="1079" stopIfTrue="1">
      <formula>$Q2908="请输入"</formula>
    </cfRule>
  </conditionalFormatting>
  <conditionalFormatting sqref="Q3006:Q3041">
    <cfRule type="expression" dxfId="3128" priority="4243" stopIfTrue="1">
      <formula>$Q3006="请输入"</formula>
    </cfRule>
  </conditionalFormatting>
  <conditionalFormatting sqref="Q3113:Q3125">
    <cfRule type="expression" dxfId="3127" priority="663" stopIfTrue="1">
      <formula>$Q3113="请输入"</formula>
    </cfRule>
  </conditionalFormatting>
  <conditionalFormatting sqref="Q3381:Q3393">
    <cfRule type="expression" dxfId="3126" priority="660" stopIfTrue="1">
      <formula>$Q3381="请输入"</formula>
    </cfRule>
  </conditionalFormatting>
  <conditionalFormatting sqref="Q3394:Q3405 Q3407">
    <cfRule type="expression" dxfId="3125" priority="657" stopIfTrue="1">
      <formula>$Q3394="请输入"</formula>
    </cfRule>
  </conditionalFormatting>
  <conditionalFormatting sqref="Q4424:Q4436">
    <cfRule type="expression" dxfId="3124" priority="598" stopIfTrue="1">
      <formula>$Q4424="请输入"</formula>
    </cfRule>
  </conditionalFormatting>
  <conditionalFormatting sqref="Q5321:Q5337">
    <cfRule type="expression" dxfId="3123" priority="572" stopIfTrue="1">
      <formula>$Q5321="请输入"</formula>
    </cfRule>
  </conditionalFormatting>
  <conditionalFormatting sqref="Q5338:Q5354">
    <cfRule type="expression" dxfId="3122" priority="569" stopIfTrue="1">
      <formula>$Q5338="请输入"</formula>
    </cfRule>
  </conditionalFormatting>
  <conditionalFormatting sqref="Q5355:Q5370">
    <cfRule type="expression" dxfId="3121" priority="563" stopIfTrue="1">
      <formula>$Q5355="请输入"</formula>
    </cfRule>
  </conditionalFormatting>
  <conditionalFormatting sqref="Q5371:Q5386">
    <cfRule type="expression" dxfId="3120" priority="554" stopIfTrue="1">
      <formula>$Q5371="请输入"</formula>
    </cfRule>
  </conditionalFormatting>
  <conditionalFormatting sqref="Q5559:Q5576">
    <cfRule type="expression" dxfId="3119" priority="539" stopIfTrue="1">
      <formula>$Q5559="请输入"</formula>
    </cfRule>
  </conditionalFormatting>
  <conditionalFormatting sqref="K7 M7 H7 P7:P8">
    <cfRule type="cellIs" dxfId="3118" priority="2815" stopIfTrue="1" operator="equal">
      <formula>0</formula>
    </cfRule>
    <cfRule type="cellIs" dxfId="3117" priority="2816" stopIfTrue="1" operator="notEqual">
      <formula>0</formula>
    </cfRule>
  </conditionalFormatting>
  <conditionalFormatting sqref="I4776 I4801 I4823 I4850 I4864 I3916 I10 I120 I138 I146 I160 I170 I192 I214 I251 I273 I286 I293 I1013 I988 I1774 I2463 I2557 I2648">
    <cfRule type="expression" dxfId="3116" priority="2790" stopIfTrue="1">
      <formula>$I10="适用"</formula>
    </cfRule>
    <cfRule type="expression" dxfId="3115" priority="2791" stopIfTrue="1">
      <formula>$I10="不适用"</formula>
    </cfRule>
  </conditionalFormatting>
  <conditionalFormatting sqref="Q934:Q942 Q2639:Q2646 Q2821:Q2828 Q3760:Q3768 Q4107:Q4116 Q4725:Q4748 Q4900:Q4913 Q4801 Q4821 Q4823:Q4835 Q4850 Q4862 Q4864:Q4876 Q3916 Q10 Q120:Q129 Q138 Q146 Q160 Q988:Q1013 Q1774:Q1788 Q2463 Q2557:Q2598 Q4776:Q4799">
    <cfRule type="expression" dxfId="3114" priority="4245"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8 I4915 I4928 I4946 I4959 I4967 I5022 I5038 I5054 I5065 I5076 I5087 I5098 I5121 I5129 I5158 I5196 I5174 I5138 I5148 I6056 I6065 I6076 I6085 I6094 I6108 I6118 I6127 I6147 I6156 I6165 I6187 I6214 I6243 I6138 I5880:I5934">
    <cfRule type="expression" dxfId="3113" priority="2798" stopIfTrue="1">
      <formula>$I20="适用"</formula>
    </cfRule>
    <cfRule type="expression" dxfId="3112" priority="2799" stopIfTrue="1">
      <formula>$I20="不适用"</formula>
    </cfRule>
  </conditionalFormatting>
  <conditionalFormatting sqref="Q20 Q2810 Q4147 Q4157">
    <cfRule type="expression" dxfId="3111" priority="4235" stopIfTrue="1">
      <formula>$Q20="请输入"</formula>
    </cfRule>
  </conditionalFormatting>
  <conditionalFormatting sqref="G4918:G4926">
    <cfRule type="expression" dxfId="3110" priority="4125" stopIfTrue="1">
      <formula>$D4918&gt;1</formula>
    </cfRule>
    <cfRule type="expression" dxfId="3109" priority="4126" stopIfTrue="1">
      <formula>$C4918="%IN"</formula>
    </cfRule>
    <cfRule type="expression" dxfId="3108" priority="4127" stopIfTrue="1">
      <formula>$E4918=0</formula>
    </cfRule>
  </conditionalFormatting>
  <conditionalFormatting sqref="I71">
    <cfRule type="expression" dxfId="3107" priority="1065" stopIfTrue="1">
      <formula>$I71="适用"</formula>
    </cfRule>
    <cfRule type="expression" dxfId="3106" priority="1066" stopIfTrue="1">
      <formula>$I71="不适用"</formula>
    </cfRule>
  </conditionalFormatting>
  <conditionalFormatting sqref="O5948:O5957 L5959:L5976 O5959:O5976 L5999:L6008 O5926:O5935 L5978:L5997 O5999:O6008 L5937:L5946 O5937:O5946 L6010:L6020 L5948:L5957 L6022:L6032 O6010:O6020 O6034:O6053 O6022:O6032 O5978:O5997 L6034:L6053 O5904:O5913 L5915:L5924 O5893:O5902 L5904:L5913 O5915:O5924 L5926:L5935 O5882:O5891 L5893:L5902 O5871:O5880 L5882:L5891 O5869 L5871:L5880 L5869 O5777:O5804 L5777:L5797 O4901:O4913 L4901:L4913 L4108 L4726:L4735 R4395:R4396 O4726:O4735 L3761 O4108:O4116 O1638 O3761:O3768 L2822 O1775:O1788 O2822:O2828 L4777:L4778 O4777:O4799 L4781:L4797 L4799">
    <cfRule type="expression" dxfId="3105" priority="614" stopIfTrue="1">
      <formula>L1638="F/S"</formula>
    </cfRule>
    <cfRule type="cellIs" dxfId="3104" priority="615" stopIfTrue="1" operator="notEqual">
      <formula>0</formula>
    </cfRule>
  </conditionalFormatting>
  <conditionalFormatting sqref="G2016:G2019 G1952:G1959">
    <cfRule type="expression" dxfId="3103" priority="3109" stopIfTrue="1">
      <formula>$D1952&gt;1</formula>
    </cfRule>
    <cfRule type="expression" dxfId="3102" priority="3110" stopIfTrue="1">
      <formula>$C1952="%IN"</formula>
    </cfRule>
  </conditionalFormatting>
  <conditionalFormatting sqref="G5590:G5601">
    <cfRule type="expression" dxfId="3101" priority="719" stopIfTrue="1">
      <formula>$D5590&gt;1</formula>
    </cfRule>
    <cfRule type="expression" dxfId="3100" priority="720" stopIfTrue="1">
      <formula>$C5590="%IN"</formula>
    </cfRule>
  </conditionalFormatting>
  <conditionalFormatting sqref="Q109">
    <cfRule type="expression" dxfId="3099" priority="4240" stopIfTrue="1">
      <formula>$Q109="请输入"</formula>
    </cfRule>
  </conditionalFormatting>
  <conditionalFormatting sqref="H4114:I4114">
    <cfRule type="expression" dxfId="3098" priority="4584">
      <formula>$D4114&gt;1</formula>
    </cfRule>
    <cfRule type="expression" dxfId="3097" priority="4585">
      <formula>$C4114="%IN"</formula>
    </cfRule>
    <cfRule type="expression" dxfId="3096" priority="4586" stopIfTrue="1">
      <formula>$E4114=0</formula>
    </cfRule>
  </conditionalFormatting>
  <conditionalFormatting sqref="G4826:G4834">
    <cfRule type="expression" dxfId="3095" priority="1036">
      <formula>$D4826&gt;1</formula>
    </cfRule>
    <cfRule type="expression" dxfId="3094" priority="1037">
      <formula>$C4826="%IN"</formula>
    </cfRule>
    <cfRule type="expression" dxfId="3093" priority="1038" stopIfTrue="1">
      <formula>$E4826=0</formula>
    </cfRule>
  </conditionalFormatting>
  <conditionalFormatting sqref="Q130 Q611:Q617">
    <cfRule type="expression" dxfId="3092" priority="4241" stopIfTrue="1">
      <formula>$Q130="请输入"</formula>
    </cfRule>
  </conditionalFormatting>
  <conditionalFormatting sqref="G520:G524 G526">
    <cfRule type="expression" dxfId="3091" priority="4755">
      <formula>$D520&gt;1</formula>
    </cfRule>
    <cfRule type="expression" dxfId="3090" priority="4756">
      <formula>$C520="%IN"</formula>
    </cfRule>
    <cfRule type="expression" dxfId="3089" priority="4757" stopIfTrue="1">
      <formula>$E520=0</formula>
    </cfRule>
  </conditionalFormatting>
  <conditionalFormatting sqref="G4804:G4820">
    <cfRule type="expression" dxfId="3088" priority="899" stopIfTrue="1">
      <formula>$D4804&gt;1</formula>
    </cfRule>
    <cfRule type="expression" dxfId="3087" priority="900" stopIfTrue="1">
      <formula>$C4804="%IN"</formula>
    </cfRule>
  </conditionalFormatting>
  <conditionalFormatting sqref="G2987:G3003 G3514:G3528 G3716:G3724 G4354:G4357">
    <cfRule type="expression" dxfId="3086" priority="2447" stopIfTrue="1">
      <formula>$D2987&gt;1</formula>
    </cfRule>
    <cfRule type="expression" dxfId="3085" priority="2448" stopIfTrue="1">
      <formula>$C2987="%IN"</formula>
    </cfRule>
  </conditionalFormatting>
  <conditionalFormatting sqref="Q2032:Q2038 Q2042:Q2047">
    <cfRule type="expression" dxfId="3084" priority="823" stopIfTrue="1">
      <formula>$Q2032="请输入"</formula>
    </cfRule>
  </conditionalFormatting>
  <conditionalFormatting sqref="Q2273:Q2292 Q2378:Q2390 Q2497:Q2505 Q2520:Q2555">
    <cfRule type="expression" dxfId="3083" priority="4242" stopIfTrue="1">
      <formula>$Q2273="请输入"</formula>
    </cfRule>
  </conditionalFormatting>
  <conditionalFormatting sqref="Q4488:Q4497 Q4367:Q4369 Q4371:Q4391">
    <cfRule type="expression" dxfId="3082" priority="4244" stopIfTrue="1">
      <formula>$Q4367="请输入"</formula>
    </cfRule>
  </conditionalFormatting>
  <conditionalFormatting sqref="I4612 I4622">
    <cfRule type="expression" dxfId="3081" priority="1399" stopIfTrue="1">
      <formula>$I4612="适用"</formula>
    </cfRule>
    <cfRule type="expression" dxfId="3080" priority="1400" stopIfTrue="1">
      <formula>$I4612="不适用"</formula>
    </cfRule>
  </conditionalFormatting>
  <conditionalFormatting sqref="G5343:G5351">
    <cfRule type="expression" dxfId="3079" priority="5052">
      <formula>$D5343&gt;1</formula>
    </cfRule>
    <cfRule type="expression" dxfId="3078" priority="5053">
      <formula>$C5343="%IN"</formula>
    </cfRule>
    <cfRule type="expression" dxfId="3077" priority="5054" stopIfTrue="1">
      <formula>$E5343=0</formula>
    </cfRule>
  </conditionalFormatting>
  <conditionalFormatting sqref="I5869:I5870 I5879">
    <cfRule type="expression" dxfId="3076" priority="1533" stopIfTrue="1">
      <formula>$I5869="适用"</formula>
    </cfRule>
    <cfRule type="expression" dxfId="3075" priority="1534" stopIfTrue="1">
      <formula>$I5869="不适用"</formula>
    </cfRule>
  </conditionalFormatting>
  <conditionalFormatting sqref="J6034:J6052 J5871:J5878 J5882:J5889 J5893:J5900 J5904:J5911 J5915:J5922 J5926:J5933">
    <cfRule type="expression" dxfId="3074" priority="1655" stopIfTrue="1">
      <formula>$J5871="适用"</formula>
    </cfRule>
    <cfRule type="expression" dxfId="3073" priority="1656" stopIfTrue="1">
      <formula>$J5871="不适用"</formula>
    </cfRule>
  </conditionalFormatting>
  <conditionalFormatting sqref="L6255:L6257 O6255:O6257">
    <cfRule type="expression" dxfId="3072" priority="2803" stopIfTrue="1">
      <formula>OR(L6255="F/S",L6255="",AND(L6255&gt;=0,L6255&lt;=1))</formula>
    </cfRule>
    <cfRule type="expression" dxfId="3071" priority="2804" stopIfTrue="1">
      <formula>OR(L6255&lt;&gt;"F/S",L6255&lt;&gt;0)</formula>
    </cfRule>
  </conditionalFormatting>
  <conditionalFormatting sqref="G149:G158">
    <cfRule type="expression" dxfId="3070" priority="5255">
      <formula>$D149&gt;1</formula>
    </cfRule>
    <cfRule type="expression" dxfId="3069" priority="5256">
      <formula>$C149="%IN"</formula>
    </cfRule>
    <cfRule type="expression" dxfId="3068" priority="5257" stopIfTrue="1">
      <formula>$E149=0</formula>
    </cfRule>
  </conditionalFormatting>
  <conditionalFormatting sqref="G874:G888">
    <cfRule type="expression" dxfId="3067" priority="5267">
      <formula>$D874&gt;1</formula>
    </cfRule>
    <cfRule type="expression" dxfId="3066" priority="5268">
      <formula>$C874="%IN"</formula>
    </cfRule>
    <cfRule type="expression" dxfId="3065" priority="5269" stopIfTrue="1">
      <formula>$E874=0</formula>
    </cfRule>
  </conditionalFormatting>
  <conditionalFormatting sqref="G1541:G1555">
    <cfRule type="expression" dxfId="3064" priority="5276">
      <formula>$D1541&gt;1</formula>
    </cfRule>
    <cfRule type="expression" dxfId="3063" priority="5277">
      <formula>$C1541="%IN"</formula>
    </cfRule>
    <cfRule type="expression" dxfId="3062" priority="5278" stopIfTrue="1">
      <formula>$E1541=0</formula>
    </cfRule>
  </conditionalFormatting>
  <conditionalFormatting sqref="G2142:G2154">
    <cfRule type="expression" dxfId="3061" priority="5297">
      <formula>$D2142&gt;1</formula>
    </cfRule>
    <cfRule type="expression" dxfId="3060" priority="5298">
      <formula>$C2142="%IN"</formula>
    </cfRule>
    <cfRule type="expression" dxfId="3059" priority="5299" stopIfTrue="1">
      <formula>$E2142=0</formula>
    </cfRule>
  </conditionalFormatting>
  <conditionalFormatting sqref="G2560:G2597">
    <cfRule type="expression" dxfId="3058" priority="5312">
      <formula>$D2560&gt;1</formula>
    </cfRule>
    <cfRule type="expression" dxfId="3057" priority="5313">
      <formula>$C2560="%IN"</formula>
    </cfRule>
    <cfRule type="expression" dxfId="3056" priority="5314" stopIfTrue="1">
      <formula>$E2560=0</formula>
    </cfRule>
  </conditionalFormatting>
  <conditionalFormatting sqref="G3009:G3040">
    <cfRule type="expression" dxfId="3055" priority="5324">
      <formula>$D3009&gt;1</formula>
    </cfRule>
    <cfRule type="expression" dxfId="3054" priority="5325">
      <formula>$C3009="%IN"</formula>
    </cfRule>
    <cfRule type="expression" dxfId="3053" priority="5326" stopIfTrue="1">
      <formula>$E3009=0</formula>
    </cfRule>
  </conditionalFormatting>
  <conditionalFormatting sqref="G5326:G5336">
    <cfRule type="expression" dxfId="3052" priority="5336">
      <formula>$D5326&gt;1</formula>
    </cfRule>
    <cfRule type="expression" dxfId="3051" priority="5337">
      <formula>$C5326="%IN"</formula>
    </cfRule>
    <cfRule type="expression" dxfId="3050" priority="5338" stopIfTrue="1">
      <formula>$E5326=0</formula>
    </cfRule>
  </conditionalFormatting>
  <conditionalFormatting sqref="G2925:G2980">
    <cfRule type="expression" dxfId="3049" priority="5339">
      <formula>$D2925&gt;1</formula>
    </cfRule>
    <cfRule type="expression" dxfId="3048" priority="5340">
      <formula>$C2925="%IN"</formula>
    </cfRule>
    <cfRule type="expression" dxfId="3047" priority="5341" stopIfTrue="1">
      <formula>$E2925=0</formula>
    </cfRule>
  </conditionalFormatting>
  <conditionalFormatting sqref="G3048:G3103">
    <cfRule type="expression" dxfId="3046" priority="5342">
      <formula>$D3048&gt;1</formula>
    </cfRule>
    <cfRule type="expression" dxfId="3045" priority="5343">
      <formula>$C3048="%IN"</formula>
    </cfRule>
    <cfRule type="expression" dxfId="3044" priority="5344" stopIfTrue="1">
      <formula>$E3048=0</formula>
    </cfRule>
  </conditionalFormatting>
  <conditionalFormatting sqref="G2144:G2152">
    <cfRule type="expression" dxfId="3043" priority="475">
      <formula>$D2144&gt;1</formula>
    </cfRule>
    <cfRule type="expression" dxfId="3042" priority="476">
      <formula>$C2144="%IN"</formula>
    </cfRule>
    <cfRule type="expression" dxfId="3041" priority="477" stopIfTrue="1">
      <formula>$E2144=0</formula>
    </cfRule>
  </conditionalFormatting>
  <conditionalFormatting sqref="G2356:G2364">
    <cfRule type="expression" dxfId="3040" priority="472">
      <formula>$D2356&gt;1</formula>
    </cfRule>
    <cfRule type="expression" dxfId="3039" priority="473">
      <formula>$C2356="%IN"</formula>
    </cfRule>
    <cfRule type="expression" dxfId="3038" priority="474" stopIfTrue="1">
      <formula>$E2356=0</formula>
    </cfRule>
  </conditionalFormatting>
  <conditionalFormatting sqref="G2605:G2608">
    <cfRule type="expression" dxfId="3037" priority="469">
      <formula>$D2605&gt;1</formula>
    </cfRule>
    <cfRule type="expression" dxfId="3036" priority="470">
      <formula>$C2605="%IN"</formula>
    </cfRule>
    <cfRule type="expression" dxfId="3035" priority="471" stopIfTrue="1">
      <formula>$E2605=0</formula>
    </cfRule>
  </conditionalFormatting>
  <conditionalFormatting sqref="G3804:G3816">
    <cfRule type="expression" dxfId="3034" priority="5351">
      <formula>$D3804&gt;1</formula>
    </cfRule>
    <cfRule type="expression" dxfId="3033" priority="5352">
      <formula>$C3804="%IN"</formula>
    </cfRule>
    <cfRule type="expression" dxfId="3032" priority="5353" stopIfTrue="1">
      <formula>$E3804=0</formula>
    </cfRule>
  </conditionalFormatting>
  <conditionalFormatting sqref="G3773:G3788">
    <cfRule type="expression" dxfId="3031" priority="5354">
      <formula>$D3773&gt;1</formula>
    </cfRule>
    <cfRule type="expression" dxfId="3030" priority="5355">
      <formula>$C3773="%IN"</formula>
    </cfRule>
    <cfRule type="expression" dxfId="3029" priority="5356" stopIfTrue="1">
      <formula>$E3773=0</formula>
    </cfRule>
  </conditionalFormatting>
  <conditionalFormatting sqref="G4313:G4315">
    <cfRule type="expression" dxfId="3028" priority="5363">
      <formula>$D4313&gt;1</formula>
    </cfRule>
    <cfRule type="expression" dxfId="3027" priority="5364">
      <formula>$C4313="%IN"</formula>
    </cfRule>
    <cfRule type="expression" dxfId="3026" priority="5365" stopIfTrue="1">
      <formula>$E4313=0</formula>
    </cfRule>
  </conditionalFormatting>
  <conditionalFormatting sqref="G5101:G5118">
    <cfRule type="expression" dxfId="3025" priority="5378">
      <formula>$D5101&gt;1</formula>
    </cfRule>
    <cfRule type="expression" dxfId="3024" priority="5379">
      <formula>$C5101="%IN"</formula>
    </cfRule>
    <cfRule type="expression" dxfId="3023" priority="5380" stopIfTrue="1">
      <formula>$E5101=0</formula>
    </cfRule>
  </conditionalFormatting>
  <conditionalFormatting sqref="G25:G57">
    <cfRule type="expression" dxfId="3022" priority="5477">
      <formula>$D25&gt;1</formula>
    </cfRule>
    <cfRule type="expression" dxfId="3021" priority="5478">
      <formula>$C25="%IN"</formula>
    </cfRule>
    <cfRule type="expression" dxfId="3020" priority="5479" stopIfTrue="1">
      <formula>$E25=0</formula>
    </cfRule>
  </conditionalFormatting>
  <conditionalFormatting sqref="P5376:P5385 P5360:P5369 O5343:O5353 O5326:O5336 M4867:M4875 M4881:M4897 O1641:P1653 L1030:N1034 K937:L941 P853:Q856 L2221:N2225 K2642:L2645 K2824:L2827 K3763:L3767 K3930:L3935 K4636:M4650 K4962:L4965 K13:L17 L2066:L2070">
    <cfRule type="cellIs" dxfId="3019" priority="7382" stopIfTrue="1" operator="notEqual">
      <formula>0</formula>
    </cfRule>
  </conditionalFormatting>
  <conditionalFormatting sqref="L5797 L5502 L4837:L4849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8" priority="7384" stopIfTrue="1">
      <formula>OR($L$20="F/S",$L$20="")</formula>
    </cfRule>
    <cfRule type="cellIs" dxfId="3017" priority="7385" stopIfTrue="1" operator="notEqual">
      <formula>0</formula>
    </cfRule>
  </conditionalFormatting>
  <conditionalFormatting sqref="O5797:O5804 O5502 O4837:O4849 O4736:O4748 O4096:O4105 O2530:O2555 O2412:O2462 O2191:O2200 O1027:O1042 O3136:O3149 O1057 O1491:O1509 O1079:O1115 O1131:O1218 O1233:O1306 O920 O2218:O2219 O2227:O2233 O762 O777 O792:O847 O468 O415 O448 O306:O315 O20 O236:O250">
    <cfRule type="expression" dxfId="3016" priority="7386" stopIfTrue="1">
      <formula>OR($O$20="F/S",$O$20="")</formula>
    </cfRule>
    <cfRule type="cellIs" dxfId="3015" priority="7387" stopIfTrue="1" operator="notEqual">
      <formula>0</formula>
    </cfRule>
  </conditionalFormatting>
  <conditionalFormatting sqref="L10">
    <cfRule type="expression" dxfId="3014" priority="7388" stopIfTrue="1">
      <formula>OR($L$10="F/S",$L$10="")</formula>
    </cfRule>
    <cfRule type="cellIs" dxfId="3013" priority="7389" stopIfTrue="1" operator="notEqual">
      <formula>0</formula>
    </cfRule>
  </conditionalFormatting>
  <conditionalFormatting sqref="O10">
    <cfRule type="expression" dxfId="3012" priority="7390" stopIfTrue="1">
      <formula>OR($O$10="F/S",$O$10="")</formula>
    </cfRule>
    <cfRule type="cellIs" dxfId="3011" priority="7391" stopIfTrue="1" operator="notEqual">
      <formula>0</formula>
    </cfRule>
  </conditionalFormatting>
  <conditionalFormatting sqref="L59">
    <cfRule type="expression" dxfId="3010" priority="7392" stopIfTrue="1">
      <formula>OR($L$59="F/S",$L$59="")</formula>
    </cfRule>
    <cfRule type="cellIs" dxfId="3009" priority="7393" stopIfTrue="1" operator="notEqual">
      <formula>0</formula>
    </cfRule>
  </conditionalFormatting>
  <conditionalFormatting sqref="O59">
    <cfRule type="expression" dxfId="3008" priority="7394" stopIfTrue="1">
      <formula>OR($O$59="F/S",$O$59="")</formula>
    </cfRule>
    <cfRule type="cellIs" dxfId="3007" priority="7395" stopIfTrue="1" operator="notEqual">
      <formula>0</formula>
    </cfRule>
  </conditionalFormatting>
  <conditionalFormatting sqref="L90">
    <cfRule type="expression" dxfId="3006" priority="7396" stopIfTrue="1">
      <formula>OR($L$90="F/S",$L$90="")</formula>
    </cfRule>
    <cfRule type="cellIs" dxfId="3005" priority="7397" stopIfTrue="1" operator="notEqual">
      <formula>0</formula>
    </cfRule>
  </conditionalFormatting>
  <conditionalFormatting sqref="O90">
    <cfRule type="expression" dxfId="3004" priority="7398" stopIfTrue="1">
      <formula>OR($O$90="F/S",$O$90="")</formula>
    </cfRule>
    <cfRule type="cellIs" dxfId="3003" priority="7399" stopIfTrue="1" operator="notEqual">
      <formula>0</formula>
    </cfRule>
  </conditionalFormatting>
  <conditionalFormatting sqref="L71">
    <cfRule type="expression" dxfId="3002" priority="7404" stopIfTrue="1">
      <formula>OR($L$71="F/S",$L$71="")</formula>
    </cfRule>
    <cfRule type="cellIs" dxfId="3001" priority="7405" stopIfTrue="1" operator="notEqual">
      <formula>0</formula>
    </cfRule>
  </conditionalFormatting>
  <conditionalFormatting sqref="O71">
    <cfRule type="expression" dxfId="3000" priority="7406" stopIfTrue="1">
      <formula>OR($O$71="F/S",$O$71="")</formula>
    </cfRule>
    <cfRule type="cellIs" dxfId="2999" priority="7407" stopIfTrue="1" operator="notEqual">
      <formula>0</formula>
    </cfRule>
  </conditionalFormatting>
  <conditionalFormatting sqref="L109">
    <cfRule type="expression" dxfId="2998" priority="7408" stopIfTrue="1">
      <formula>OR($L$109="F/S",$L$109="")</formula>
    </cfRule>
    <cfRule type="cellIs" dxfId="2997" priority="7409" stopIfTrue="1" operator="notEqual">
      <formula>0</formula>
    </cfRule>
  </conditionalFormatting>
  <conditionalFormatting sqref="O109">
    <cfRule type="expression" dxfId="2996" priority="7410" stopIfTrue="1">
      <formula>OR($O$109="F/S",$O$109="")</formula>
    </cfRule>
    <cfRule type="cellIs" dxfId="2995" priority="7411" stopIfTrue="1" operator="notEqual">
      <formula>0</formula>
    </cfRule>
  </conditionalFormatting>
  <conditionalFormatting sqref="L120">
    <cfRule type="expression" dxfId="2994" priority="7412" stopIfTrue="1">
      <formula>OR($L$120="F/S",$L$120="")</formula>
    </cfRule>
    <cfRule type="cellIs" dxfId="2993" priority="7413" stopIfTrue="1" operator="notEqual">
      <formula>0</formula>
    </cfRule>
  </conditionalFormatting>
  <conditionalFormatting sqref="O120">
    <cfRule type="expression" dxfId="2992" priority="7414" stopIfTrue="1">
      <formula>OR($O$120="F/S",$O$120="")</formula>
    </cfRule>
    <cfRule type="cellIs" dxfId="2991" priority="7415" stopIfTrue="1" operator="notEqual">
      <formula>0</formula>
    </cfRule>
  </conditionalFormatting>
  <conditionalFormatting sqref="L138">
    <cfRule type="expression" dxfId="2990" priority="7416" stopIfTrue="1">
      <formula>OR($L$138="F/S",$L$138="")</formula>
    </cfRule>
    <cfRule type="cellIs" dxfId="2989" priority="7417" stopIfTrue="1" operator="notEqual">
      <formula>0</formula>
    </cfRule>
  </conditionalFormatting>
  <conditionalFormatting sqref="O138">
    <cfRule type="expression" dxfId="2988" priority="7418" stopIfTrue="1">
      <formula>OR($O$138="F/S",$O$138="")</formula>
    </cfRule>
    <cfRule type="cellIs" dxfId="2987" priority="7419" stopIfTrue="1" operator="notEqual">
      <formula>0</formula>
    </cfRule>
  </conditionalFormatting>
  <conditionalFormatting sqref="L146">
    <cfRule type="expression" dxfId="2986" priority="7420" stopIfTrue="1">
      <formula>OR($L$146="F/S",$L$146="")</formula>
    </cfRule>
    <cfRule type="cellIs" dxfId="2985" priority="7421" stopIfTrue="1" operator="notEqual">
      <formula>0</formula>
    </cfRule>
  </conditionalFormatting>
  <conditionalFormatting sqref="O146">
    <cfRule type="expression" dxfId="2984" priority="7422" stopIfTrue="1">
      <formula>OR($O$146="F/S",$O$146="")</formula>
    </cfRule>
    <cfRule type="cellIs" dxfId="2983" priority="7423" stopIfTrue="1" operator="notEqual">
      <formula>0</formula>
    </cfRule>
  </conditionalFormatting>
  <conditionalFormatting sqref="L160">
    <cfRule type="expression" dxfId="2982" priority="7424" stopIfTrue="1">
      <formula>OR($L$160="F/S",$L$160="")</formula>
    </cfRule>
    <cfRule type="cellIs" dxfId="2981" priority="7425" stopIfTrue="1" operator="notEqual">
      <formula>0</formula>
    </cfRule>
  </conditionalFormatting>
  <conditionalFormatting sqref="O160">
    <cfRule type="expression" dxfId="2980" priority="7426" stopIfTrue="1">
      <formula>OR($O$160="F/S",$O$160="")</formula>
    </cfRule>
    <cfRule type="cellIs" dxfId="2979" priority="7427" stopIfTrue="1" operator="notEqual">
      <formula>0</formula>
    </cfRule>
  </conditionalFormatting>
  <conditionalFormatting sqref="L170">
    <cfRule type="expression" dxfId="2978" priority="7428" stopIfTrue="1">
      <formula>OR($L$170="F/S",$L$170="")</formula>
    </cfRule>
    <cfRule type="cellIs" dxfId="2977" priority="7429" stopIfTrue="1" operator="notEqual">
      <formula>0</formula>
    </cfRule>
  </conditionalFormatting>
  <conditionalFormatting sqref="O170">
    <cfRule type="expression" dxfId="2976" priority="7430" stopIfTrue="1">
      <formula>OR($O$170="F/S",$O$170="")</formula>
    </cfRule>
    <cfRule type="cellIs" dxfId="2975" priority="7431" stopIfTrue="1" operator="notEqual">
      <formula>0</formula>
    </cfRule>
  </conditionalFormatting>
  <conditionalFormatting sqref="L192">
    <cfRule type="expression" dxfId="2974" priority="7432" stopIfTrue="1">
      <formula>OR($L$192="F/S",$L$192="")</formula>
    </cfRule>
    <cfRule type="cellIs" dxfId="2973" priority="7433" stopIfTrue="1" operator="notEqual">
      <formula>0</formula>
    </cfRule>
  </conditionalFormatting>
  <conditionalFormatting sqref="O192">
    <cfRule type="expression" dxfId="2972" priority="7434" stopIfTrue="1">
      <formula>OR($O$192="F/S",$O$192="")</formula>
    </cfRule>
    <cfRule type="cellIs" dxfId="2971" priority="7435" stopIfTrue="1" operator="notEqual">
      <formula>0</formula>
    </cfRule>
  </conditionalFormatting>
  <conditionalFormatting sqref="L214">
    <cfRule type="expression" dxfId="2970" priority="7436" stopIfTrue="1">
      <formula>OR($L$214="F/S",$L$214="")</formula>
    </cfRule>
    <cfRule type="cellIs" dxfId="2969" priority="7437" stopIfTrue="1" operator="notEqual">
      <formula>0</formula>
    </cfRule>
  </conditionalFormatting>
  <conditionalFormatting sqref="O214">
    <cfRule type="expression" dxfId="2968" priority="7438" stopIfTrue="1">
      <formula>OR($O$214="F/S",$O$214="")</formula>
    </cfRule>
    <cfRule type="cellIs" dxfId="2967" priority="7439" stopIfTrue="1" operator="notEqual">
      <formula>0</formula>
    </cfRule>
  </conditionalFormatting>
  <conditionalFormatting sqref="L251">
    <cfRule type="expression" dxfId="2966" priority="7440" stopIfTrue="1">
      <formula>OR($L$251="F/S",$L$251="")</formula>
    </cfRule>
    <cfRule type="cellIs" dxfId="2965" priority="7441" stopIfTrue="1" operator="notEqual">
      <formula>0</formula>
    </cfRule>
  </conditionalFormatting>
  <conditionalFormatting sqref="O251">
    <cfRule type="expression" dxfId="2964" priority="7442" stopIfTrue="1">
      <formula>OR($O$251="F/S",$O$251="")</formula>
    </cfRule>
    <cfRule type="cellIs" dxfId="2963" priority="7443" stopIfTrue="1" operator="notEqual">
      <formula>0</formula>
    </cfRule>
  </conditionalFormatting>
  <conditionalFormatting sqref="L273">
    <cfRule type="expression" dxfId="2962" priority="7444" stopIfTrue="1">
      <formula>OR($L$273="F/S",$L$273="")</formula>
    </cfRule>
    <cfRule type="cellIs" dxfId="2961" priority="7445" stopIfTrue="1" operator="notEqual">
      <formula>0</formula>
    </cfRule>
  </conditionalFormatting>
  <conditionalFormatting sqref="O273">
    <cfRule type="expression" dxfId="2960" priority="7446" stopIfTrue="1">
      <formula>OR($O$273="F/S",$O$273="")</formula>
    </cfRule>
    <cfRule type="cellIs" dxfId="2959" priority="7447" stopIfTrue="1" operator="notEqual">
      <formula>0</formula>
    </cfRule>
  </conditionalFormatting>
  <conditionalFormatting sqref="L286">
    <cfRule type="expression" dxfId="2958" priority="7448" stopIfTrue="1">
      <formula>OR($L$286="F/S",$L$286="")</formula>
    </cfRule>
    <cfRule type="cellIs" dxfId="2957" priority="7449" stopIfTrue="1" operator="notEqual">
      <formula>0</formula>
    </cfRule>
  </conditionalFormatting>
  <conditionalFormatting sqref="O286">
    <cfRule type="expression" dxfId="2956" priority="7450" stopIfTrue="1">
      <formula>OR($O$286="F/S",$O$286="")</formula>
    </cfRule>
    <cfRule type="cellIs" dxfId="2955" priority="7451" stopIfTrue="1" operator="notEqual">
      <formula>0</formula>
    </cfRule>
  </conditionalFormatting>
  <conditionalFormatting sqref="L293">
    <cfRule type="expression" dxfId="2954" priority="7452" stopIfTrue="1">
      <formula>OR($L$293="F/S",$L$293="")</formula>
    </cfRule>
    <cfRule type="cellIs" dxfId="2953" priority="7453" stopIfTrue="1" operator="notEqual">
      <formula>0</formula>
    </cfRule>
  </conditionalFormatting>
  <conditionalFormatting sqref="O293">
    <cfRule type="expression" dxfId="2952" priority="7454" stopIfTrue="1">
      <formula>OR($O$293="F/S",$O$293="")</formula>
    </cfRule>
    <cfRule type="cellIs" dxfId="2951" priority="7455" stopIfTrue="1" operator="notEqual">
      <formula>0</formula>
    </cfRule>
  </conditionalFormatting>
  <conditionalFormatting sqref="L130">
    <cfRule type="expression" dxfId="2950" priority="7456" stopIfTrue="1">
      <formula>OR($L$130="F/S",$L$130="")</formula>
    </cfRule>
    <cfRule type="cellIs" dxfId="2949" priority="7457" stopIfTrue="1" operator="notEqual">
      <formula>0</formula>
    </cfRule>
  </conditionalFormatting>
  <conditionalFormatting sqref="O130">
    <cfRule type="expression" dxfId="2948" priority="7458" stopIfTrue="1">
      <formula>OR($O$130="F/S",$O$130="")</formula>
    </cfRule>
    <cfRule type="cellIs" dxfId="2947" priority="7459" stopIfTrue="1" operator="notEqual">
      <formula>0</formula>
    </cfRule>
  </conditionalFormatting>
  <conditionalFormatting sqref="L317">
    <cfRule type="expression" dxfId="2946" priority="7460" stopIfTrue="1">
      <formula>OR($L$317="F/S",$L$317="")</formula>
    </cfRule>
    <cfRule type="cellIs" dxfId="2945" priority="7461" stopIfTrue="1" operator="notEqual">
      <formula>0</formula>
    </cfRule>
  </conditionalFormatting>
  <conditionalFormatting sqref="O317">
    <cfRule type="expression" dxfId="2944" priority="7462" stopIfTrue="1">
      <formula>OR($O$317="F/S",$O$317="")</formula>
    </cfRule>
    <cfRule type="cellIs" dxfId="2943" priority="7463" stopIfTrue="1" operator="notEqual">
      <formula>0</formula>
    </cfRule>
  </conditionalFormatting>
  <conditionalFormatting sqref="L334">
    <cfRule type="expression" dxfId="2942" priority="7464" stopIfTrue="1">
      <formula>OR($L$334="F/S",$L$334="")</formula>
    </cfRule>
    <cfRule type="cellIs" dxfId="2941" priority="7465" stopIfTrue="1" operator="notEqual">
      <formula>0</formula>
    </cfRule>
  </conditionalFormatting>
  <conditionalFormatting sqref="O334">
    <cfRule type="expression" dxfId="2940" priority="7466" stopIfTrue="1">
      <formula>OR($O$334="F/S",$O$334="")</formula>
    </cfRule>
    <cfRule type="cellIs" dxfId="2939" priority="7467" stopIfTrue="1" operator="notEqual">
      <formula>0</formula>
    </cfRule>
  </conditionalFormatting>
  <conditionalFormatting sqref="L430">
    <cfRule type="expression" dxfId="2938" priority="7468" stopIfTrue="1">
      <formula>OR($L$430="F/S",$L$430="")</formula>
    </cfRule>
    <cfRule type="cellIs" dxfId="2937" priority="7469" stopIfTrue="1" operator="notEqual">
      <formula>0</formula>
    </cfRule>
  </conditionalFormatting>
  <conditionalFormatting sqref="O430">
    <cfRule type="expression" dxfId="2936" priority="7470" stopIfTrue="1">
      <formula>OR($O$430="F/S",$O$430="")</formula>
    </cfRule>
    <cfRule type="cellIs" dxfId="2935" priority="7471" stopIfTrue="1" operator="notEqual">
      <formula>0</formula>
    </cfRule>
  </conditionalFormatting>
  <conditionalFormatting sqref="L356">
    <cfRule type="expression" dxfId="2934" priority="7472" stopIfTrue="1">
      <formula>OR($L$356="F/S",$L$356="")</formula>
    </cfRule>
    <cfRule type="cellIs" dxfId="2933" priority="7473" stopIfTrue="1" operator="notEqual">
      <formula>0</formula>
    </cfRule>
  </conditionalFormatting>
  <conditionalFormatting sqref="O356">
    <cfRule type="expression" dxfId="2932" priority="7474" stopIfTrue="1">
      <formula>OR($O$356="F/S",$O$356="")</formula>
    </cfRule>
    <cfRule type="cellIs" dxfId="2931" priority="7475" stopIfTrue="1" operator="notEqual">
      <formula>0</formula>
    </cfRule>
  </conditionalFormatting>
  <conditionalFormatting sqref="L378">
    <cfRule type="expression" dxfId="2930" priority="7476" stopIfTrue="1">
      <formula>OR($L$378="F/S",$L$378="")</formula>
    </cfRule>
    <cfRule type="cellIs" dxfId="2929" priority="7477" stopIfTrue="1" operator="notEqual">
      <formula>0</formula>
    </cfRule>
  </conditionalFormatting>
  <conditionalFormatting sqref="O378">
    <cfRule type="expression" dxfId="2928" priority="7478" stopIfTrue="1">
      <formula>OR($O$378="F/S",$O$378="")</formula>
    </cfRule>
    <cfRule type="cellIs" dxfId="2927" priority="7479" stopIfTrue="1" operator="notEqual">
      <formula>0</formula>
    </cfRule>
  </conditionalFormatting>
  <conditionalFormatting sqref="L400">
    <cfRule type="expression" dxfId="2926" priority="7480" stopIfTrue="1">
      <formula>OR($L$400="F/S",$L$400="")</formula>
    </cfRule>
    <cfRule type="cellIs" dxfId="2925" priority="7481" stopIfTrue="1" operator="notEqual">
      <formula>0</formula>
    </cfRule>
  </conditionalFormatting>
  <conditionalFormatting sqref="O400">
    <cfRule type="expression" dxfId="2924" priority="7482" stopIfTrue="1">
      <formula>OR($O$400="F/S",$O$400="")</formula>
    </cfRule>
    <cfRule type="cellIs" dxfId="2923" priority="7483" stopIfTrue="1" operator="notEqual">
      <formula>0</formula>
    </cfRule>
  </conditionalFormatting>
  <conditionalFormatting sqref="L515">
    <cfRule type="expression" dxfId="2922" priority="7484" stopIfTrue="1">
      <formula>OR($L$515="F/S",$L$515="")</formula>
    </cfRule>
    <cfRule type="cellIs" dxfId="2921" priority="7485" stopIfTrue="1" operator="notEqual">
      <formula>0</formula>
    </cfRule>
  </conditionalFormatting>
  <conditionalFormatting sqref="O515">
    <cfRule type="expression" dxfId="2920" priority="7486" stopIfTrue="1">
      <formula>OR($O$515="F/S",$O$515="")</formula>
    </cfRule>
    <cfRule type="cellIs" dxfId="2919" priority="7487" stopIfTrue="1" operator="notEqual">
      <formula>0</formula>
    </cfRule>
  </conditionalFormatting>
  <conditionalFormatting sqref="L535">
    <cfRule type="expression" dxfId="2918" priority="7488" stopIfTrue="1">
      <formula>OR($L$535="F/S",$L$535="")</formula>
    </cfRule>
    <cfRule type="cellIs" dxfId="2917" priority="7489" stopIfTrue="1" operator="notEqual">
      <formula>0</formula>
    </cfRule>
  </conditionalFormatting>
  <conditionalFormatting sqref="O535">
    <cfRule type="expression" dxfId="2916" priority="7490" stopIfTrue="1">
      <formula>OR($O$535="F/S",$O$535="")</formula>
    </cfRule>
    <cfRule type="cellIs" dxfId="2915" priority="7491" stopIfTrue="1" operator="notEqual">
      <formula>0</formula>
    </cfRule>
  </conditionalFormatting>
  <conditionalFormatting sqref="L579">
    <cfRule type="expression" dxfId="2914" priority="7492" stopIfTrue="1">
      <formula>OR($L$579="F/S",$L$579="")</formula>
    </cfRule>
    <cfRule type="cellIs" dxfId="2913" priority="7493" stopIfTrue="1" operator="notEqual">
      <formula>0</formula>
    </cfRule>
  </conditionalFormatting>
  <conditionalFormatting sqref="O579">
    <cfRule type="expression" dxfId="2912" priority="7494" stopIfTrue="1">
      <formula>OR($O$579="F/S",$O$579="")</formula>
    </cfRule>
    <cfRule type="cellIs" dxfId="2911" priority="7495" stopIfTrue="1" operator="notEqual">
      <formula>0</formula>
    </cfRule>
  </conditionalFormatting>
  <conditionalFormatting sqref="L601">
    <cfRule type="expression" dxfId="2910" priority="7496" stopIfTrue="1">
      <formula>OR($L$601="F/S",$L$601="")</formula>
    </cfRule>
    <cfRule type="cellIs" dxfId="2909" priority="7497" stopIfTrue="1" operator="notEqual">
      <formula>0</formula>
    </cfRule>
  </conditionalFormatting>
  <conditionalFormatting sqref="O601">
    <cfRule type="expression" dxfId="2908" priority="7498" stopIfTrue="1">
      <formula>OR($O$601="F/S",$O$601="")</formula>
    </cfRule>
    <cfRule type="cellIs" dxfId="2907" priority="7499" stopIfTrue="1" operator="notEqual">
      <formula>0</formula>
    </cfRule>
  </conditionalFormatting>
  <conditionalFormatting sqref="L611">
    <cfRule type="expression" dxfId="2906" priority="7500" stopIfTrue="1">
      <formula>OR($L$611="F/S",$L$611="")</formula>
    </cfRule>
    <cfRule type="cellIs" dxfId="2905" priority="7501" stopIfTrue="1" operator="notEqual">
      <formula>0</formula>
    </cfRule>
  </conditionalFormatting>
  <conditionalFormatting sqref="O611">
    <cfRule type="expression" dxfId="2904" priority="7502" stopIfTrue="1">
      <formula>OR($O$611="F/S",$O$611="")</formula>
    </cfRule>
    <cfRule type="cellIs" dxfId="2903" priority="7503" stopIfTrue="1" operator="notEqual">
      <formula>0</formula>
    </cfRule>
  </conditionalFormatting>
  <conditionalFormatting sqref="L618">
    <cfRule type="expression" dxfId="2902" priority="7504" stopIfTrue="1">
      <formula>OR($L$618="F/S",$L$618="")</formula>
    </cfRule>
    <cfRule type="cellIs" dxfId="2901" priority="7505" stopIfTrue="1" operator="notEqual">
      <formula>0</formula>
    </cfRule>
  </conditionalFormatting>
  <conditionalFormatting sqref="O618">
    <cfRule type="expression" dxfId="2900" priority="7506" stopIfTrue="1">
      <formula>OR($O$618="F/S",$O$618="")</formula>
    </cfRule>
    <cfRule type="cellIs" dxfId="2899" priority="7507" stopIfTrue="1" operator="notEqual">
      <formula>0</formula>
    </cfRule>
  </conditionalFormatting>
  <conditionalFormatting sqref="L629">
    <cfRule type="expression" dxfId="2898" priority="7508" stopIfTrue="1">
      <formula>OR($L$629="F/S",$L$629="")</formula>
    </cfRule>
    <cfRule type="cellIs" dxfId="2897" priority="7509" stopIfTrue="1" operator="notEqual">
      <formula>0</formula>
    </cfRule>
  </conditionalFormatting>
  <conditionalFormatting sqref="O629">
    <cfRule type="expression" dxfId="2896" priority="7510" stopIfTrue="1">
      <formula>OR($O$629="F/S",$O$629="")</formula>
    </cfRule>
    <cfRule type="cellIs" dxfId="2895" priority="7511" stopIfTrue="1" operator="notEqual">
      <formula>0</formula>
    </cfRule>
  </conditionalFormatting>
  <conditionalFormatting sqref="L648">
    <cfRule type="expression" dxfId="2894" priority="7512" stopIfTrue="1">
      <formula>OR($L$648="F/S",$L$648="")</formula>
    </cfRule>
    <cfRule type="cellIs" dxfId="2893" priority="7513" stopIfTrue="1" operator="notEqual">
      <formula>0</formula>
    </cfRule>
  </conditionalFormatting>
  <conditionalFormatting sqref="O648">
    <cfRule type="expression" dxfId="2892" priority="7514" stopIfTrue="1">
      <formula>OR($O$648="F/S",$O$648="")</formula>
    </cfRule>
    <cfRule type="cellIs" dxfId="2891" priority="7515" stopIfTrue="1" operator="notEqual">
      <formula>0</formula>
    </cfRule>
  </conditionalFormatting>
  <conditionalFormatting sqref="L658">
    <cfRule type="expression" dxfId="2890" priority="7516" stopIfTrue="1">
      <formula>OR($L$658="F/S",$L$658="")</formula>
    </cfRule>
    <cfRule type="cellIs" dxfId="2889" priority="7517" stopIfTrue="1" operator="notEqual">
      <formula>0</formula>
    </cfRule>
  </conditionalFormatting>
  <conditionalFormatting sqref="O658">
    <cfRule type="expression" dxfId="2888" priority="7518" stopIfTrue="1">
      <formula>OR($O$658="F/S",$O$658="")</formula>
    </cfRule>
    <cfRule type="cellIs" dxfId="2887" priority="7519" stopIfTrue="1" operator="notEqual">
      <formula>0</formula>
    </cfRule>
  </conditionalFormatting>
  <conditionalFormatting sqref="L485">
    <cfRule type="expression" dxfId="2886" priority="7520" stopIfTrue="1">
      <formula>OR($L$485="F/S",$L$485="")</formula>
    </cfRule>
    <cfRule type="cellIs" dxfId="2885" priority="7521" stopIfTrue="1" operator="notEqual">
      <formula>0</formula>
    </cfRule>
  </conditionalFormatting>
  <conditionalFormatting sqref="O485">
    <cfRule type="expression" dxfId="2884" priority="7522" stopIfTrue="1">
      <formula>OR($O$485="F/S",$O$485="")</formula>
    </cfRule>
    <cfRule type="cellIs" dxfId="2883" priority="7523" stopIfTrue="1" operator="notEqual">
      <formula>0</formula>
    </cfRule>
  </conditionalFormatting>
  <conditionalFormatting sqref="L500">
    <cfRule type="expression" dxfId="2882" priority="7524" stopIfTrue="1">
      <formula>OR($L$500="F/S",$L$500="")</formula>
    </cfRule>
    <cfRule type="cellIs" dxfId="2881" priority="7525" stopIfTrue="1" operator="notEqual">
      <formula>0</formula>
    </cfRule>
  </conditionalFormatting>
  <conditionalFormatting sqref="O500">
    <cfRule type="expression" dxfId="2880" priority="7526" stopIfTrue="1">
      <formula>OR($O$500="F/S",$O$500="")</formula>
    </cfRule>
    <cfRule type="cellIs" dxfId="2879" priority="7527" stopIfTrue="1" operator="notEqual">
      <formula>0</formula>
    </cfRule>
  </conditionalFormatting>
  <conditionalFormatting sqref="L559">
    <cfRule type="expression" dxfId="2878" priority="7528" stopIfTrue="1">
      <formula>OR($L$559="F/S",$L$559="")</formula>
    </cfRule>
    <cfRule type="cellIs" dxfId="2877" priority="7529" stopIfTrue="1" operator="notEqual">
      <formula>0</formula>
    </cfRule>
  </conditionalFormatting>
  <conditionalFormatting sqref="O559">
    <cfRule type="expression" dxfId="2876" priority="7530" stopIfTrue="1">
      <formula>OR($O$559="F/S",$O$559="")</formula>
    </cfRule>
    <cfRule type="cellIs" dxfId="2875" priority="7531" stopIfTrue="1" operator="notEqual">
      <formula>0</formula>
    </cfRule>
  </conditionalFormatting>
  <conditionalFormatting sqref="L569">
    <cfRule type="expression" dxfId="2874" priority="7532" stopIfTrue="1">
      <formula>OR($L$569="F/S",$L$569="")</formula>
    </cfRule>
    <cfRule type="cellIs" dxfId="2873" priority="7533" stopIfTrue="1" operator="notEqual">
      <formula>0</formula>
    </cfRule>
  </conditionalFormatting>
  <conditionalFormatting sqref="O569">
    <cfRule type="expression" dxfId="2872" priority="7534" stopIfTrue="1">
      <formula>OR($O$569="F/S",$O$569="")</formula>
    </cfRule>
    <cfRule type="cellIs" dxfId="2871" priority="7535" stopIfTrue="1" operator="notEqual">
      <formula>0</formula>
    </cfRule>
  </conditionalFormatting>
  <conditionalFormatting sqref="L668">
    <cfRule type="expression" dxfId="2870" priority="7540" stopIfTrue="1">
      <formula>OR($L$668="F/S",$L$668="")</formula>
    </cfRule>
    <cfRule type="cellIs" dxfId="2869" priority="7541" stopIfTrue="1" operator="notEqual">
      <formula>0</formula>
    </cfRule>
  </conditionalFormatting>
  <conditionalFormatting sqref="O668">
    <cfRule type="expression" dxfId="2868" priority="7542" stopIfTrue="1">
      <formula>OR($O$668="F/S",$O$668="")</formula>
    </cfRule>
    <cfRule type="cellIs" dxfId="2867" priority="7543" stopIfTrue="1" operator="notEqual">
      <formula>0</formula>
    </cfRule>
  </conditionalFormatting>
  <conditionalFormatting sqref="L678">
    <cfRule type="expression" dxfId="2866" priority="7544" stopIfTrue="1">
      <formula>OR($L$678="F/S",$L$678="")</formula>
    </cfRule>
    <cfRule type="cellIs" dxfId="2865" priority="7545" stopIfTrue="1" operator="notEqual">
      <formula>0</formula>
    </cfRule>
  </conditionalFormatting>
  <conditionalFormatting sqref="O678">
    <cfRule type="expression" dxfId="2864" priority="7546" stopIfTrue="1">
      <formula>OR($O$678="F/S",$O$678="")</formula>
    </cfRule>
    <cfRule type="cellIs" dxfId="2863" priority="7547" stopIfTrue="1" operator="notEqual">
      <formula>0</formula>
    </cfRule>
  </conditionalFormatting>
  <conditionalFormatting sqref="L688">
    <cfRule type="expression" dxfId="2862" priority="7548" stopIfTrue="1">
      <formula>OR($L$688="F/S",$L$688="")</formula>
    </cfRule>
    <cfRule type="cellIs" dxfId="2861" priority="7549" stopIfTrue="1" operator="notEqual">
      <formula>0</formula>
    </cfRule>
  </conditionalFormatting>
  <conditionalFormatting sqref="O688">
    <cfRule type="expression" dxfId="2860" priority="7550" stopIfTrue="1">
      <formula>OR($O$688="F/S",$O$688="")</formula>
    </cfRule>
    <cfRule type="cellIs" dxfId="2859" priority="7551" stopIfTrue="1" operator="notEqual">
      <formula>0</formula>
    </cfRule>
  </conditionalFormatting>
  <conditionalFormatting sqref="L698">
    <cfRule type="expression" dxfId="2858" priority="7556" stopIfTrue="1">
      <formula>OR($L$698="F/S",$L$698="")</formula>
    </cfRule>
    <cfRule type="cellIs" dxfId="2857" priority="7557" stopIfTrue="1" operator="notEqual">
      <formula>0</formula>
    </cfRule>
  </conditionalFormatting>
  <conditionalFormatting sqref="O698">
    <cfRule type="expression" dxfId="2856" priority="7558" stopIfTrue="1">
      <formula>OR($O$698="F/S",$O$698="")</formula>
    </cfRule>
    <cfRule type="cellIs" dxfId="2855" priority="7559" stopIfTrue="1" operator="notEqual">
      <formula>0</formula>
    </cfRule>
  </conditionalFormatting>
  <conditionalFormatting sqref="L706">
    <cfRule type="expression" dxfId="2854" priority="7560" stopIfTrue="1">
      <formula>OR($L$706="F/S",$L$706="")</formula>
    </cfRule>
    <cfRule type="cellIs" dxfId="2853" priority="7561" stopIfTrue="1" operator="notEqual">
      <formula>0</formula>
    </cfRule>
  </conditionalFormatting>
  <conditionalFormatting sqref="O706">
    <cfRule type="expression" dxfId="2852" priority="7562" stopIfTrue="1">
      <formula>OR($O$706="F/S",$O$706="")</formula>
    </cfRule>
    <cfRule type="cellIs" dxfId="2851" priority="7563" stopIfTrue="1" operator="notEqual">
      <formula>0</formula>
    </cfRule>
  </conditionalFormatting>
  <conditionalFormatting sqref="L721">
    <cfRule type="expression" dxfId="2850" priority="7564" stopIfTrue="1">
      <formula>OR($L$721="F/S",$L$721="")</formula>
    </cfRule>
    <cfRule type="cellIs" dxfId="2849" priority="7565" stopIfTrue="1" operator="notEqual">
      <formula>0</formula>
    </cfRule>
  </conditionalFormatting>
  <conditionalFormatting sqref="O721">
    <cfRule type="expression" dxfId="2848" priority="7566" stopIfTrue="1">
      <formula>OR($O$721="F/S",$O$721="")</formula>
    </cfRule>
    <cfRule type="cellIs" dxfId="2847" priority="7567" stopIfTrue="1" operator="notEqual">
      <formula>0</formula>
    </cfRule>
  </conditionalFormatting>
  <conditionalFormatting sqref="L740">
    <cfRule type="expression" dxfId="2846" priority="7568" stopIfTrue="1">
      <formula>OR($L$740="F/S",$L$740="")</formula>
    </cfRule>
    <cfRule type="cellIs" dxfId="2845" priority="7569" stopIfTrue="1" operator="notEqual">
      <formula>0</formula>
    </cfRule>
  </conditionalFormatting>
  <conditionalFormatting sqref="O740">
    <cfRule type="expression" dxfId="2844" priority="7570" stopIfTrue="1">
      <formula>OR($O$740="F/S",$O$740="")</formula>
    </cfRule>
    <cfRule type="cellIs" dxfId="2843" priority="7571" stopIfTrue="1" operator="notEqual">
      <formula>0</formula>
    </cfRule>
  </conditionalFormatting>
  <conditionalFormatting sqref="L848">
    <cfRule type="expression" dxfId="2842" priority="7572" stopIfTrue="1">
      <formula>OR($L$848="F/S",$L$848="")</formula>
    </cfRule>
    <cfRule type="cellIs" dxfId="2841" priority="7573" stopIfTrue="1" operator="notEqual">
      <formula>0</formula>
    </cfRule>
  </conditionalFormatting>
  <conditionalFormatting sqref="O848">
    <cfRule type="expression" dxfId="2840" priority="7574" stopIfTrue="1">
      <formula>OR($O$848="F/S",$O$848="")</formula>
    </cfRule>
    <cfRule type="cellIs" dxfId="2839" priority="7575" stopIfTrue="1" operator="notEqual">
      <formula>0</formula>
    </cfRule>
  </conditionalFormatting>
  <conditionalFormatting sqref="L859">
    <cfRule type="expression" dxfId="2838" priority="7576" stopIfTrue="1">
      <formula>OR($L$859="F/S",$L$859="")</formula>
    </cfRule>
    <cfRule type="cellIs" dxfId="2837" priority="7577" stopIfTrue="1" operator="notEqual">
      <formula>0</formula>
    </cfRule>
  </conditionalFormatting>
  <conditionalFormatting sqref="O859">
    <cfRule type="expression" dxfId="2836" priority="7578" stopIfTrue="1">
      <formula>OR($O$859="F/S",$O$859="")</formula>
    </cfRule>
    <cfRule type="cellIs" dxfId="2835" priority="7579" stopIfTrue="1" operator="notEqual">
      <formula>0</formula>
    </cfRule>
  </conditionalFormatting>
  <conditionalFormatting sqref="L871">
    <cfRule type="expression" dxfId="2834" priority="7580" stopIfTrue="1">
      <formula>OR($L$871="F/S",$L$871="")</formula>
    </cfRule>
    <cfRule type="cellIs" dxfId="2833" priority="7581" stopIfTrue="1" operator="notEqual">
      <formula>0</formula>
    </cfRule>
  </conditionalFormatting>
  <conditionalFormatting sqref="O871">
    <cfRule type="expression" dxfId="2832" priority="7582" stopIfTrue="1">
      <formula>OR($O$871="F/S",$O$871="")</formula>
    </cfRule>
    <cfRule type="cellIs" dxfId="2831" priority="7583" stopIfTrue="1" operator="notEqual">
      <formula>0</formula>
    </cfRule>
  </conditionalFormatting>
  <conditionalFormatting sqref="L890">
    <cfRule type="expression" dxfId="2830" priority="7584" stopIfTrue="1">
      <formula>OR($L$890="F/S",$L$890="")</formula>
    </cfRule>
    <cfRule type="cellIs" dxfId="2829" priority="7585" stopIfTrue="1" operator="notEqual">
      <formula>0</formula>
    </cfRule>
  </conditionalFormatting>
  <conditionalFormatting sqref="O890">
    <cfRule type="expression" dxfId="2828" priority="7586" stopIfTrue="1">
      <formula>OR($O$890="F/S",$O$890="")</formula>
    </cfRule>
    <cfRule type="cellIs" dxfId="2827" priority="7587" stopIfTrue="1" operator="notEqual">
      <formula>0</formula>
    </cfRule>
  </conditionalFormatting>
  <conditionalFormatting sqref="L910">
    <cfRule type="expression" dxfId="2826" priority="7592" stopIfTrue="1">
      <formula>OR($L$910="F/S",$L$910="")</formula>
    </cfRule>
    <cfRule type="cellIs" dxfId="2825" priority="7593" stopIfTrue="1" operator="notEqual">
      <formula>0</formula>
    </cfRule>
  </conditionalFormatting>
  <conditionalFormatting sqref="O910">
    <cfRule type="expression" dxfId="2824" priority="7594" stopIfTrue="1">
      <formula>OR($O$910="F/S",$O$910="")</formula>
    </cfRule>
    <cfRule type="cellIs" dxfId="2823" priority="7595" stopIfTrue="1" operator="notEqual">
      <formula>0</formula>
    </cfRule>
  </conditionalFormatting>
  <conditionalFormatting sqref="L900">
    <cfRule type="expression" dxfId="2822" priority="7596" stopIfTrue="1">
      <formula>OR($L$900="F/S",$L$900="")</formula>
    </cfRule>
    <cfRule type="cellIs" dxfId="2821" priority="7597" stopIfTrue="1" operator="notEqual">
      <formula>0</formula>
    </cfRule>
  </conditionalFormatting>
  <conditionalFormatting sqref="O900">
    <cfRule type="expression" dxfId="2820" priority="7598" stopIfTrue="1">
      <formula>OR($O$900="F/S",$O$900="")</formula>
    </cfRule>
    <cfRule type="cellIs" dxfId="2819" priority="7599" stopIfTrue="1" operator="notEqual">
      <formula>0</formula>
    </cfRule>
  </conditionalFormatting>
  <conditionalFormatting sqref="L934">
    <cfRule type="expression" dxfId="2818" priority="7604" stopIfTrue="1">
      <formula>OR($L$934="F/S",$L$934="")</formula>
    </cfRule>
    <cfRule type="cellIs" dxfId="2817" priority="7605" stopIfTrue="1" operator="notEqual">
      <formula>0</formula>
    </cfRule>
  </conditionalFormatting>
  <conditionalFormatting sqref="O934">
    <cfRule type="expression" dxfId="2816" priority="7606" stopIfTrue="1">
      <formula>OR($O$934="F/S",$O$934="")</formula>
    </cfRule>
    <cfRule type="cellIs" dxfId="2815" priority="7607" stopIfTrue="1" operator="notEqual">
      <formula>0</formula>
    </cfRule>
  </conditionalFormatting>
  <conditionalFormatting sqref="L944">
    <cfRule type="expression" dxfId="2814" priority="7608" stopIfTrue="1">
      <formula>OR($L$944="F/S",$L$944="")</formula>
    </cfRule>
    <cfRule type="cellIs" dxfId="2813" priority="7609" stopIfTrue="1" operator="notEqual">
      <formula>0</formula>
    </cfRule>
  </conditionalFormatting>
  <conditionalFormatting sqref="O944">
    <cfRule type="expression" dxfId="2812" priority="7610" stopIfTrue="1">
      <formula>OR($O$944="F/S",$O$944="")</formula>
    </cfRule>
    <cfRule type="cellIs" dxfId="2811" priority="7611" stopIfTrue="1" operator="notEqual">
      <formula>0</formula>
    </cfRule>
  </conditionalFormatting>
  <conditionalFormatting sqref="L956">
    <cfRule type="expression" dxfId="2810" priority="7612" stopIfTrue="1">
      <formula>OR($L$956="F/S",$L$956="")</formula>
    </cfRule>
    <cfRule type="cellIs" dxfId="2809" priority="7613" stopIfTrue="1" operator="notEqual">
      <formula>0</formula>
    </cfRule>
  </conditionalFormatting>
  <conditionalFormatting sqref="O956">
    <cfRule type="expression" dxfId="2808" priority="7614" stopIfTrue="1">
      <formula>OR($O$956="F/S",$O$956="")</formula>
    </cfRule>
    <cfRule type="cellIs" dxfId="2807" priority="7615" stopIfTrue="1" operator="notEqual">
      <formula>0</formula>
    </cfRule>
  </conditionalFormatting>
  <conditionalFormatting sqref="L967">
    <cfRule type="expression" dxfId="2806" priority="7616" stopIfTrue="1">
      <formula>OR($L$967="F/S",$L$967="")</formula>
    </cfRule>
    <cfRule type="cellIs" dxfId="2805" priority="7617" stopIfTrue="1" operator="notEqual">
      <formula>0</formula>
    </cfRule>
  </conditionalFormatting>
  <conditionalFormatting sqref="O967">
    <cfRule type="expression" dxfId="2804" priority="7618" stopIfTrue="1">
      <formula>OR($O$967="F/S",$O$967="")</formula>
    </cfRule>
    <cfRule type="cellIs" dxfId="2803" priority="7619" stopIfTrue="1" operator="notEqual">
      <formula>0</formula>
    </cfRule>
  </conditionalFormatting>
  <conditionalFormatting sqref="L977">
    <cfRule type="expression" dxfId="2802" priority="7620" stopIfTrue="1">
      <formula>OR($L$977="F/S",$L$977="")</formula>
    </cfRule>
    <cfRule type="cellIs" dxfId="2801" priority="7621" stopIfTrue="1" operator="notEqual">
      <formula>0</formula>
    </cfRule>
  </conditionalFormatting>
  <conditionalFormatting sqref="O977">
    <cfRule type="expression" dxfId="2800" priority="7622" stopIfTrue="1">
      <formula>OR($O$977="F/S",$O$977="")</formula>
    </cfRule>
    <cfRule type="cellIs" dxfId="2799" priority="7623" stopIfTrue="1" operator="notEqual">
      <formula>0</formula>
    </cfRule>
  </conditionalFormatting>
  <conditionalFormatting sqref="L988">
    <cfRule type="expression" dxfId="2798" priority="7624" stopIfTrue="1">
      <formula>OR($L$988="F/S",$L$988="")</formula>
    </cfRule>
    <cfRule type="cellIs" dxfId="2797" priority="7625" stopIfTrue="1" operator="notEqual">
      <formula>0</formula>
    </cfRule>
  </conditionalFormatting>
  <conditionalFormatting sqref="O988">
    <cfRule type="expression" dxfId="2796" priority="7626" stopIfTrue="1">
      <formula>OR($O$988="F/S",$O$988="")</formula>
    </cfRule>
    <cfRule type="cellIs" dxfId="2795" priority="7627" stopIfTrue="1" operator="notEqual">
      <formula>0</formula>
    </cfRule>
  </conditionalFormatting>
  <conditionalFormatting sqref="L1013">
    <cfRule type="expression" dxfId="2794" priority="7628" stopIfTrue="1">
      <formula>OR($L$1013="F/S",$L$1013="")</formula>
    </cfRule>
    <cfRule type="cellIs" dxfId="2793" priority="7629" stopIfTrue="1" operator="notEqual">
      <formula>0</formula>
    </cfRule>
  </conditionalFormatting>
  <conditionalFormatting sqref="O1013">
    <cfRule type="expression" dxfId="2792" priority="7630" stopIfTrue="1">
      <formula>OR($O$1013="F/S",$O$1013="")</formula>
    </cfRule>
    <cfRule type="cellIs" dxfId="2791" priority="7631" stopIfTrue="1" operator="notEqual">
      <formula>0</formula>
    </cfRule>
  </conditionalFormatting>
  <conditionalFormatting sqref="L1043">
    <cfRule type="expression" dxfId="2790" priority="7632" stopIfTrue="1">
      <formula>OR($L$1043="F/S",$L$1043="")</formula>
    </cfRule>
    <cfRule type="cellIs" dxfId="2789" priority="7633" stopIfTrue="1" operator="notEqual">
      <formula>0</formula>
    </cfRule>
  </conditionalFormatting>
  <conditionalFormatting sqref="O1043">
    <cfRule type="expression" dxfId="2788" priority="7634" stopIfTrue="1">
      <formula>OR($O$1043="F/S",$O$1043="")</formula>
    </cfRule>
    <cfRule type="cellIs" dxfId="2787" priority="7635" stopIfTrue="1" operator="notEqual">
      <formula>0</formula>
    </cfRule>
  </conditionalFormatting>
  <conditionalFormatting sqref="L1219">
    <cfRule type="expression" dxfId="2786" priority="7636" stopIfTrue="1">
      <formula>OR($L$1219="F/S",$L$1219="")</formula>
    </cfRule>
    <cfRule type="cellIs" dxfId="2785" priority="7637" stopIfTrue="1" operator="notEqual">
      <formula>0</formula>
    </cfRule>
  </conditionalFormatting>
  <conditionalFormatting sqref="O1219">
    <cfRule type="expression" dxfId="2784" priority="7638" stopIfTrue="1">
      <formula>OR($O$1219="F/S",$O$1219="")</formula>
    </cfRule>
    <cfRule type="cellIs" dxfId="2783" priority="7639" stopIfTrue="1" operator="notEqual">
      <formula>0</formula>
    </cfRule>
  </conditionalFormatting>
  <conditionalFormatting sqref="L1307">
    <cfRule type="expression" dxfId="2782" priority="7640" stopIfTrue="1">
      <formula>OR($L$1307="F/S",$L$1307="")</formula>
    </cfRule>
    <cfRule type="cellIs" dxfId="2781" priority="7641" stopIfTrue="1" operator="notEqual">
      <formula>0</formula>
    </cfRule>
  </conditionalFormatting>
  <conditionalFormatting sqref="O1307">
    <cfRule type="expression" dxfId="2780" priority="7642" stopIfTrue="1">
      <formula>OR($O$1307="F/S",$O$1307="")</formula>
    </cfRule>
    <cfRule type="cellIs" dxfId="2779" priority="7643" stopIfTrue="1" operator="notEqual">
      <formula>0</formula>
    </cfRule>
  </conditionalFormatting>
  <conditionalFormatting sqref="L1409">
    <cfRule type="expression" dxfId="2778" priority="7644" stopIfTrue="1">
      <formula>OR($L$1409="F/S",$L$1409="")</formula>
    </cfRule>
    <cfRule type="cellIs" dxfId="2777" priority="7645" stopIfTrue="1" operator="notEqual">
      <formula>0</formula>
    </cfRule>
  </conditionalFormatting>
  <conditionalFormatting sqref="O1409">
    <cfRule type="expression" dxfId="2776" priority="7646" stopIfTrue="1">
      <formula>OR($O$1409="F/S",$O$1409="")</formula>
    </cfRule>
    <cfRule type="cellIs" dxfId="2775" priority="7647" stopIfTrue="1" operator="notEqual">
      <formula>0</formula>
    </cfRule>
  </conditionalFormatting>
  <conditionalFormatting sqref="L1116">
    <cfRule type="expression" dxfId="2774" priority="7648" stopIfTrue="1">
      <formula>OR($L$1116="F/S",$L$1116="")</formula>
    </cfRule>
    <cfRule type="cellIs" dxfId="2773" priority="7649" stopIfTrue="1" operator="notEqual">
      <formula>0</formula>
    </cfRule>
  </conditionalFormatting>
  <conditionalFormatting sqref="O1116">
    <cfRule type="expression" dxfId="2772" priority="7650" stopIfTrue="1">
      <formula>OR($O$1116="F/S",$O$1116="")</formula>
    </cfRule>
    <cfRule type="cellIs" dxfId="2771" priority="7651" stopIfTrue="1" operator="notEqual">
      <formula>0</formula>
    </cfRule>
  </conditionalFormatting>
  <conditionalFormatting sqref="L1326">
    <cfRule type="expression" dxfId="2770" priority="7652" stopIfTrue="1">
      <formula>OR($L$1326="F/S",$L$1326="")</formula>
    </cfRule>
    <cfRule type="cellIs" dxfId="2769" priority="7653" stopIfTrue="1" operator="notEqual">
      <formula>0</formula>
    </cfRule>
  </conditionalFormatting>
  <conditionalFormatting sqref="O1326">
    <cfRule type="expression" dxfId="2768" priority="7654" stopIfTrue="1">
      <formula>OR($O$1326="F/S",$O$1326="")</formula>
    </cfRule>
    <cfRule type="cellIs" dxfId="2767" priority="7655" stopIfTrue="1" operator="notEqual">
      <formula>0</formula>
    </cfRule>
  </conditionalFormatting>
  <conditionalFormatting sqref="L1348">
    <cfRule type="expression" dxfId="2766" priority="7656" stopIfTrue="1">
      <formula>OR($L$1348="F/S",$L$1348="")</formula>
    </cfRule>
    <cfRule type="cellIs" dxfId="2765" priority="7657" stopIfTrue="1" operator="notEqual">
      <formula>0</formula>
    </cfRule>
  </conditionalFormatting>
  <conditionalFormatting sqref="O1348">
    <cfRule type="expression" dxfId="2764" priority="7658" stopIfTrue="1">
      <formula>OR($O$1348="F/S",$O$1348="")</formula>
    </cfRule>
    <cfRule type="cellIs" dxfId="2763" priority="7659" stopIfTrue="1" operator="notEqual">
      <formula>0</formula>
    </cfRule>
  </conditionalFormatting>
  <conditionalFormatting sqref="L1469">
    <cfRule type="expression" dxfId="2762" priority="7660" stopIfTrue="1">
      <formula>OR($L$1469="F/S",$L$1469="")</formula>
    </cfRule>
    <cfRule type="cellIs" dxfId="2761" priority="7661" stopIfTrue="1" operator="notEqual">
      <formula>0</formula>
    </cfRule>
  </conditionalFormatting>
  <conditionalFormatting sqref="O1469">
    <cfRule type="expression" dxfId="2760" priority="7662" stopIfTrue="1">
      <formula>OR($O$1469="F/S",$O$1469="")</formula>
    </cfRule>
    <cfRule type="cellIs" dxfId="2759" priority="7663" stopIfTrue="1" operator="notEqual">
      <formula>0</formula>
    </cfRule>
  </conditionalFormatting>
  <conditionalFormatting sqref="L1510">
    <cfRule type="expression" dxfId="2758" priority="7664" stopIfTrue="1">
      <formula>OR($L$1510="F/S",$L$1510="")</formula>
    </cfRule>
    <cfRule type="cellIs" dxfId="2757" priority="7665" stopIfTrue="1" operator="notEqual">
      <formula>0</formula>
    </cfRule>
  </conditionalFormatting>
  <conditionalFormatting sqref="O1510">
    <cfRule type="expression" dxfId="2756" priority="7666" stopIfTrue="1">
      <formula>OR($O$1510="F/S",$O$1510="")</formula>
    </cfRule>
    <cfRule type="cellIs" dxfId="2755" priority="7667" stopIfTrue="1" operator="notEqual">
      <formula>0</formula>
    </cfRule>
  </conditionalFormatting>
  <conditionalFormatting sqref="L1520">
    <cfRule type="expression" dxfId="2754" priority="7668" stopIfTrue="1">
      <formula>OR($L$1520="F/S",$L$1520="")</formula>
    </cfRule>
    <cfRule type="cellIs" dxfId="2753" priority="7669" stopIfTrue="1" operator="notEqual">
      <formula>0</formula>
    </cfRule>
  </conditionalFormatting>
  <conditionalFormatting sqref="O1520">
    <cfRule type="expression" dxfId="2752" priority="7670" stopIfTrue="1">
      <formula>OR($O$1520="F/S",$O$1520="")</formula>
    </cfRule>
    <cfRule type="cellIs" dxfId="2751" priority="7671" stopIfTrue="1" operator="notEqual">
      <formula>0</formula>
    </cfRule>
  </conditionalFormatting>
  <conditionalFormatting sqref="L1527">
    <cfRule type="expression" dxfId="2750" priority="7672" stopIfTrue="1">
      <formula>OR($L$1527="F/S",$L$1527="")</formula>
    </cfRule>
    <cfRule type="cellIs" dxfId="2749" priority="7673" stopIfTrue="1" operator="notEqual">
      <formula>0</formula>
    </cfRule>
  </conditionalFormatting>
  <conditionalFormatting sqref="O1527">
    <cfRule type="expression" dxfId="2748" priority="7674" stopIfTrue="1">
      <formula>OR($O$1527="F/S",$O$1527="")</formula>
    </cfRule>
    <cfRule type="cellIs" dxfId="2747" priority="7675" stopIfTrue="1" operator="notEqual">
      <formula>0</formula>
    </cfRule>
  </conditionalFormatting>
  <conditionalFormatting sqref="L1538">
    <cfRule type="expression" dxfId="2746" priority="7676" stopIfTrue="1">
      <formula>OR($L$1538="F/S",$L$1538="")</formula>
    </cfRule>
    <cfRule type="cellIs" dxfId="2745" priority="7677" stopIfTrue="1" operator="notEqual">
      <formula>0</formula>
    </cfRule>
  </conditionalFormatting>
  <conditionalFormatting sqref="O1538">
    <cfRule type="expression" dxfId="2744" priority="7678" stopIfTrue="1">
      <formula>OR($O$1538="F/S",$O$1538="")</formula>
    </cfRule>
    <cfRule type="cellIs" dxfId="2743" priority="7679" stopIfTrue="1" operator="notEqual">
      <formula>0</formula>
    </cfRule>
  </conditionalFormatting>
  <conditionalFormatting sqref="L1557">
    <cfRule type="expression" dxfId="2742" priority="7680" stopIfTrue="1">
      <formula>OR($L$1557="F/S",$L$1557="")</formula>
    </cfRule>
    <cfRule type="cellIs" dxfId="2741" priority="7681" stopIfTrue="1" operator="notEqual">
      <formula>0</formula>
    </cfRule>
  </conditionalFormatting>
  <conditionalFormatting sqref="O1557">
    <cfRule type="expression" dxfId="2740" priority="7682" stopIfTrue="1">
      <formula>OR($O$1557="F/S",$O$1557="")</formula>
    </cfRule>
    <cfRule type="cellIs" dxfId="2739" priority="7683" stopIfTrue="1" operator="notEqual">
      <formula>0</formula>
    </cfRule>
  </conditionalFormatting>
  <conditionalFormatting sqref="L1567">
    <cfRule type="expression" dxfId="2738" priority="7684" stopIfTrue="1">
      <formula>OR($L$1567="F/S",$L$1567="")</formula>
    </cfRule>
    <cfRule type="cellIs" dxfId="2737" priority="7685" stopIfTrue="1" operator="notEqual">
      <formula>0</formula>
    </cfRule>
  </conditionalFormatting>
  <conditionalFormatting sqref="O1567">
    <cfRule type="expression" dxfId="2736" priority="7686" stopIfTrue="1">
      <formula>OR($O$1567="F/S",$O$1567="")</formula>
    </cfRule>
    <cfRule type="cellIs" dxfId="2735" priority="7687" stopIfTrue="1" operator="notEqual">
      <formula>0</formula>
    </cfRule>
  </conditionalFormatting>
  <conditionalFormatting sqref="L1577">
    <cfRule type="expression" dxfId="2734" priority="7688" stopIfTrue="1">
      <formula>OR($L$1577="F/S",$L$1577="")</formula>
    </cfRule>
    <cfRule type="cellIs" dxfId="2733" priority="7689" stopIfTrue="1" operator="notEqual">
      <formula>0</formula>
    </cfRule>
  </conditionalFormatting>
  <conditionalFormatting sqref="O1577">
    <cfRule type="expression" dxfId="2732" priority="7690" stopIfTrue="1">
      <formula>OR($O$1577="F/S",$O$1577="")</formula>
    </cfRule>
    <cfRule type="cellIs" dxfId="2731" priority="7691" stopIfTrue="1" operator="notEqual">
      <formula>0</formula>
    </cfRule>
  </conditionalFormatting>
  <conditionalFormatting sqref="L1365">
    <cfRule type="expression" dxfId="2730" priority="7692" stopIfTrue="1">
      <formula>OR($L$1365="F/S",$L$1365="")</formula>
    </cfRule>
    <cfRule type="cellIs" dxfId="2729" priority="7693" stopIfTrue="1" operator="notEqual">
      <formula>0</formula>
    </cfRule>
  </conditionalFormatting>
  <conditionalFormatting sqref="O1365">
    <cfRule type="expression" dxfId="2728" priority="7694" stopIfTrue="1">
      <formula>OR($O$1365="F/S",$O$1365="")</formula>
    </cfRule>
    <cfRule type="cellIs" dxfId="2727" priority="7695" stopIfTrue="1" operator="notEqual">
      <formula>0</formula>
    </cfRule>
  </conditionalFormatting>
  <conditionalFormatting sqref="L1387">
    <cfRule type="expression" dxfId="2726" priority="7696" stopIfTrue="1">
      <formula>OR($L$1387="F/S",$L$1387="")</formula>
    </cfRule>
    <cfRule type="cellIs" dxfId="2725" priority="7697" stopIfTrue="1" operator="notEqual">
      <formula>0</formula>
    </cfRule>
  </conditionalFormatting>
  <conditionalFormatting sqref="O1387">
    <cfRule type="expression" dxfId="2724" priority="7698" stopIfTrue="1">
      <formula>OR($O$1387="F/S",$O$1387="")</formula>
    </cfRule>
    <cfRule type="cellIs" dxfId="2723" priority="7699" stopIfTrue="1" operator="notEqual">
      <formula>0</formula>
    </cfRule>
  </conditionalFormatting>
  <conditionalFormatting sqref="L1587">
    <cfRule type="expression" dxfId="2722" priority="7700" stopIfTrue="1">
      <formula>OR($L$1587="F/S",$L$1587="")</formula>
    </cfRule>
    <cfRule type="cellIs" dxfId="2721" priority="7701" stopIfTrue="1" operator="notEqual">
      <formula>0</formula>
    </cfRule>
  </conditionalFormatting>
  <conditionalFormatting sqref="O1587">
    <cfRule type="expression" dxfId="2720" priority="7702" stopIfTrue="1">
      <formula>OR($O$1587="F/S",$O$1587="")</formula>
    </cfRule>
    <cfRule type="cellIs" dxfId="2719" priority="7703" stopIfTrue="1" operator="notEqual">
      <formula>0</formula>
    </cfRule>
  </conditionalFormatting>
  <conditionalFormatting sqref="L1428">
    <cfRule type="expression" dxfId="2718" priority="7704" stopIfTrue="1">
      <formula>OR($L$1428="F/S",$L$1428="")</formula>
    </cfRule>
    <cfRule type="cellIs" dxfId="2717" priority="7705" stopIfTrue="1" operator="notEqual">
      <formula>0</formula>
    </cfRule>
  </conditionalFormatting>
  <conditionalFormatting sqref="O1428">
    <cfRule type="expression" dxfId="2716" priority="7706" stopIfTrue="1">
      <formula>OR($O$1428="F/S",$O$1428="")</formula>
    </cfRule>
    <cfRule type="cellIs" dxfId="2715" priority="7707" stopIfTrue="1" operator="notEqual">
      <formula>0</formula>
    </cfRule>
  </conditionalFormatting>
  <conditionalFormatting sqref="L1449">
    <cfRule type="expression" dxfId="2714" priority="7708" stopIfTrue="1">
      <formula>OR($L$1449="F/S",$L$1449="")</formula>
    </cfRule>
    <cfRule type="cellIs" dxfId="2713" priority="7709" stopIfTrue="1" operator="notEqual">
      <formula>0</formula>
    </cfRule>
  </conditionalFormatting>
  <conditionalFormatting sqref="O1449">
    <cfRule type="expression" dxfId="2712" priority="7710" stopIfTrue="1">
      <formula>OR($O$1449="F/S",$O$1449="")</formula>
    </cfRule>
    <cfRule type="cellIs" dxfId="2711" priority="7711" stopIfTrue="1" operator="notEqual">
      <formula>0</formula>
    </cfRule>
  </conditionalFormatting>
  <conditionalFormatting sqref="L1459">
    <cfRule type="expression" dxfId="2710" priority="7712" stopIfTrue="1">
      <formula>OR($L$1459="F/S",$L$1459="")</formula>
    </cfRule>
    <cfRule type="cellIs" dxfId="2709" priority="7713" stopIfTrue="1" operator="notEqual">
      <formula>0</formula>
    </cfRule>
  </conditionalFormatting>
  <conditionalFormatting sqref="O1459">
    <cfRule type="expression" dxfId="2708" priority="7714" stopIfTrue="1">
      <formula>OR($O$1459="F/S",$O$1459="")</formula>
    </cfRule>
    <cfRule type="cellIs" dxfId="2707" priority="7715" stopIfTrue="1" operator="notEqual">
      <formula>0</formula>
    </cfRule>
  </conditionalFormatting>
  <conditionalFormatting sqref="L1597">
    <cfRule type="expression" dxfId="2706" priority="7716" stopIfTrue="1">
      <formula>OR($L$1597="F/S",$L$1597="")</formula>
    </cfRule>
    <cfRule type="cellIs" dxfId="2705" priority="7717" stopIfTrue="1" operator="notEqual">
      <formula>0</formula>
    </cfRule>
  </conditionalFormatting>
  <conditionalFormatting sqref="O1597">
    <cfRule type="expression" dxfId="2704" priority="7718" stopIfTrue="1">
      <formula>OR($O$1597="F/S",$O$1597="")</formula>
    </cfRule>
    <cfRule type="cellIs" dxfId="2703" priority="7719" stopIfTrue="1" operator="notEqual">
      <formula>0</formula>
    </cfRule>
  </conditionalFormatting>
  <conditionalFormatting sqref="L1607">
    <cfRule type="expression" dxfId="2702" priority="7724" stopIfTrue="1">
      <formula>OR($L$1607="F/S",$L$1607="")</formula>
    </cfRule>
    <cfRule type="cellIs" dxfId="2701" priority="7725" stopIfTrue="1" operator="notEqual">
      <formula>0</formula>
    </cfRule>
  </conditionalFormatting>
  <conditionalFormatting sqref="O1607">
    <cfRule type="expression" dxfId="2700" priority="7726" stopIfTrue="1">
      <formula>OR($O$1607="F/S",$O$1607="")</formula>
    </cfRule>
    <cfRule type="cellIs" dxfId="2699" priority="7727" stopIfTrue="1" operator="notEqual">
      <formula>0</formula>
    </cfRule>
  </conditionalFormatting>
  <conditionalFormatting sqref="L1617">
    <cfRule type="expression" dxfId="2698" priority="7728" stopIfTrue="1">
      <formula>OR($L$1617="F/S",$L$1617="")</formula>
    </cfRule>
    <cfRule type="cellIs" dxfId="2697" priority="7729" stopIfTrue="1" operator="notEqual">
      <formula>0</formula>
    </cfRule>
  </conditionalFormatting>
  <conditionalFormatting sqref="O1617">
    <cfRule type="expression" dxfId="2696" priority="7730" stopIfTrue="1">
      <formula>OR($O$1617="F/S",$O$1617="")</formula>
    </cfRule>
    <cfRule type="cellIs" dxfId="2695" priority="7731" stopIfTrue="1" operator="notEqual">
      <formula>0</formula>
    </cfRule>
  </conditionalFormatting>
  <conditionalFormatting sqref="L1636">
    <cfRule type="expression" dxfId="2694" priority="7732" stopIfTrue="1">
      <formula>OR($L$1636="F/S",$L$1636="")</formula>
    </cfRule>
    <cfRule type="cellIs" dxfId="2693" priority="7733" stopIfTrue="1" operator="notEqual">
      <formula>0</formula>
    </cfRule>
  </conditionalFormatting>
  <conditionalFormatting sqref="O1636">
    <cfRule type="expression" dxfId="2692" priority="7734" stopIfTrue="1">
      <formula>OR($O$1636="F/S",$O$1636="")</formula>
    </cfRule>
    <cfRule type="cellIs" dxfId="2691" priority="7735" stopIfTrue="1" operator="notEqual">
      <formula>0</formula>
    </cfRule>
  </conditionalFormatting>
  <conditionalFormatting sqref="L1655">
    <cfRule type="expression" dxfId="2690" priority="7736" stopIfTrue="1">
      <formula>OR($L$1655="F/S",$L$1655="")</formula>
    </cfRule>
    <cfRule type="cellIs" dxfId="2689" priority="7737" stopIfTrue="1" operator="notEqual">
      <formula>0</formula>
    </cfRule>
  </conditionalFormatting>
  <conditionalFormatting sqref="O1655">
    <cfRule type="expression" dxfId="2688" priority="7738" stopIfTrue="1">
      <formula>OR($O$1655="F/S",$O$1655="")</formula>
    </cfRule>
    <cfRule type="cellIs" dxfId="2687" priority="7739" stopIfTrue="1" operator="notEqual">
      <formula>0</formula>
    </cfRule>
  </conditionalFormatting>
  <conditionalFormatting sqref="L1665">
    <cfRule type="expression" dxfId="2686" priority="7740" stopIfTrue="1">
      <formula>OR($L$1665="F/S",$L$1665="")</formula>
    </cfRule>
    <cfRule type="cellIs" dxfId="2685" priority="7741" stopIfTrue="1" operator="notEqual">
      <formula>0</formula>
    </cfRule>
  </conditionalFormatting>
  <conditionalFormatting sqref="O1665">
    <cfRule type="expression" dxfId="2684" priority="7742" stopIfTrue="1">
      <formula>OR($O$1665="F/S",$O$1665="")</formula>
    </cfRule>
    <cfRule type="cellIs" dxfId="2683" priority="7743" stopIfTrue="1" operator="notEqual">
      <formula>0</formula>
    </cfRule>
  </conditionalFormatting>
  <conditionalFormatting sqref="L1736">
    <cfRule type="expression" dxfId="2682" priority="7744" stopIfTrue="1">
      <formula>OR($L$1736="F/S",$L$1736="")</formula>
    </cfRule>
    <cfRule type="cellIs" dxfId="2681" priority="7745" stopIfTrue="1" operator="notEqual">
      <formula>0</formula>
    </cfRule>
  </conditionalFormatting>
  <conditionalFormatting sqref="O1736">
    <cfRule type="expression" dxfId="2680" priority="7746" stopIfTrue="1">
      <formula>OR($O$1736="F/S",$O$1736="")</formula>
    </cfRule>
    <cfRule type="cellIs" dxfId="2679" priority="7747" stopIfTrue="1" operator="notEqual">
      <formula>0</formula>
    </cfRule>
  </conditionalFormatting>
  <conditionalFormatting sqref="L1682">
    <cfRule type="expression" dxfId="2678" priority="7748" stopIfTrue="1">
      <formula>OR($L$1682="F/S",$L$1682="")</formula>
    </cfRule>
    <cfRule type="cellIs" dxfId="2677" priority="7749" stopIfTrue="1" operator="notEqual">
      <formula>0</formula>
    </cfRule>
  </conditionalFormatting>
  <conditionalFormatting sqref="O1682">
    <cfRule type="expression" dxfId="2676" priority="7750" stopIfTrue="1">
      <formula>OR($O$1682="F/S",$O$1682="")</formula>
    </cfRule>
    <cfRule type="cellIs" dxfId="2675" priority="7751" stopIfTrue="1" operator="notEqual">
      <formula>0</formula>
    </cfRule>
  </conditionalFormatting>
  <conditionalFormatting sqref="L1699">
    <cfRule type="expression" dxfId="2674" priority="7752" stopIfTrue="1">
      <formula>OR($L$1699="F/S",$L$1699="")</formula>
    </cfRule>
    <cfRule type="cellIs" dxfId="2673" priority="7753" stopIfTrue="1" operator="notEqual">
      <formula>0</formula>
    </cfRule>
  </conditionalFormatting>
  <conditionalFormatting sqref="O1699">
    <cfRule type="expression" dxfId="2672" priority="7754" stopIfTrue="1">
      <formula>OR($O$1699="F/S",$O$1699="")</formula>
    </cfRule>
    <cfRule type="cellIs" dxfId="2671" priority="7755" stopIfTrue="1" operator="notEqual">
      <formula>0</formula>
    </cfRule>
  </conditionalFormatting>
  <conditionalFormatting sqref="L1716">
    <cfRule type="expression" dxfId="2670" priority="7756" stopIfTrue="1">
      <formula>OR($L$1716="F/S",$L$1716="")</formula>
    </cfRule>
    <cfRule type="cellIs" dxfId="2669" priority="7757" stopIfTrue="1" operator="notEqual">
      <formula>0</formula>
    </cfRule>
  </conditionalFormatting>
  <conditionalFormatting sqref="O1716">
    <cfRule type="expression" dxfId="2668" priority="7758" stopIfTrue="1">
      <formula>OR($O$1716="F/S",$O$1716="")</formula>
    </cfRule>
    <cfRule type="cellIs" dxfId="2667" priority="7759" stopIfTrue="1" operator="notEqual">
      <formula>0</formula>
    </cfRule>
  </conditionalFormatting>
  <conditionalFormatting sqref="L1726">
    <cfRule type="expression" dxfId="2666" priority="7760" stopIfTrue="1">
      <formula>OR($L$1726="F/S",$L$1726="")</formula>
    </cfRule>
    <cfRule type="cellIs" dxfId="2665" priority="7761" stopIfTrue="1" operator="notEqual">
      <formula>0</formula>
    </cfRule>
  </conditionalFormatting>
  <conditionalFormatting sqref="O1726">
    <cfRule type="expression" dxfId="2664" priority="7762" stopIfTrue="1">
      <formula>OR($O$1726="F/S",$O$1726="")</formula>
    </cfRule>
    <cfRule type="cellIs" dxfId="2663" priority="7763" stopIfTrue="1" operator="notEqual">
      <formula>0</formula>
    </cfRule>
  </conditionalFormatting>
  <conditionalFormatting sqref="L1753">
    <cfRule type="expression" dxfId="2662" priority="7764" stopIfTrue="1">
      <formula>OR($L$1753="F/S",$L$1753="")</formula>
    </cfRule>
    <cfRule type="cellIs" dxfId="2661" priority="7765" stopIfTrue="1" operator="notEqual">
      <formula>0</formula>
    </cfRule>
  </conditionalFormatting>
  <conditionalFormatting sqref="O1753">
    <cfRule type="expression" dxfId="2660" priority="7766" stopIfTrue="1">
      <formula>OR($O$1753="F/S",$O$1753="")</formula>
    </cfRule>
    <cfRule type="cellIs" dxfId="2659" priority="7767" stopIfTrue="1" operator="notEqual">
      <formula>0</formula>
    </cfRule>
  </conditionalFormatting>
  <conditionalFormatting sqref="L1774">
    <cfRule type="expression" dxfId="2658" priority="7772" stopIfTrue="1">
      <formula>OR($L$1774="F/S",$L$1774="")</formula>
    </cfRule>
    <cfRule type="cellIs" dxfId="2657" priority="7773" stopIfTrue="1" operator="notEqual">
      <formula>0</formula>
    </cfRule>
  </conditionalFormatting>
  <conditionalFormatting sqref="O1774">
    <cfRule type="expression" dxfId="2656" priority="7774" stopIfTrue="1">
      <formula>OR($O$1774="F/S",$O$1774="")</formula>
    </cfRule>
    <cfRule type="cellIs" dxfId="2655" priority="7775" stopIfTrue="1" operator="notEqual">
      <formula>0</formula>
    </cfRule>
  </conditionalFormatting>
  <conditionalFormatting sqref="L1764">
    <cfRule type="expression" dxfId="2654" priority="7780" stopIfTrue="1">
      <formula>OR($L$1764="F/S",$L$1764="")</formula>
    </cfRule>
    <cfRule type="cellIs" dxfId="2653" priority="7781" stopIfTrue="1" operator="notEqual">
      <formula>0</formula>
    </cfRule>
  </conditionalFormatting>
  <conditionalFormatting sqref="O1764">
    <cfRule type="expression" dxfId="2652" priority="7782" stopIfTrue="1">
      <formula>OR($O$1764="F/S",$O$1764="")</formula>
    </cfRule>
    <cfRule type="cellIs" dxfId="2651" priority="7783" stopIfTrue="1" operator="notEqual">
      <formula>0</formula>
    </cfRule>
  </conditionalFormatting>
  <conditionalFormatting sqref="L1790">
    <cfRule type="expression" dxfId="2650" priority="7796" stopIfTrue="1">
      <formula>OR($L$1790="F/S",$L$1790="")</formula>
    </cfRule>
    <cfRule type="cellIs" dxfId="2649" priority="7797" stopIfTrue="1" operator="notEqual">
      <formula>0</formula>
    </cfRule>
  </conditionalFormatting>
  <conditionalFormatting sqref="O1790">
    <cfRule type="expression" dxfId="2648" priority="7798" stopIfTrue="1">
      <formula>OR($O$1790="F/S",$O$1790="")</formula>
    </cfRule>
    <cfRule type="cellIs" dxfId="2647" priority="7799" stopIfTrue="1" operator="notEqual">
      <formula>0</formula>
    </cfRule>
  </conditionalFormatting>
  <conditionalFormatting sqref="L1799">
    <cfRule type="expression" dxfId="2646" priority="7800" stopIfTrue="1">
      <formula>OR($L$1799="F/S",$L$1799="")</formula>
    </cfRule>
    <cfRule type="cellIs" dxfId="2645" priority="7801" stopIfTrue="1" operator="notEqual">
      <formula>0</formula>
    </cfRule>
  </conditionalFormatting>
  <conditionalFormatting sqref="O1799">
    <cfRule type="expression" dxfId="2644" priority="7802" stopIfTrue="1">
      <formula>OR($O$1799="F/S",$O$1799="")</formula>
    </cfRule>
    <cfRule type="cellIs" dxfId="2643" priority="7803" stopIfTrue="1" operator="notEqual">
      <formula>0</formula>
    </cfRule>
  </conditionalFormatting>
  <conditionalFormatting sqref="L1812">
    <cfRule type="expression" dxfId="2642" priority="7804" stopIfTrue="1">
      <formula>OR($L$1812="F/S",$L$1812="")</formula>
    </cfRule>
    <cfRule type="cellIs" dxfId="2641" priority="7805" stopIfTrue="1" operator="notEqual">
      <formula>0</formula>
    </cfRule>
  </conditionalFormatting>
  <conditionalFormatting sqref="O1812">
    <cfRule type="expression" dxfId="2640" priority="7806" stopIfTrue="1">
      <formula>OR($O$1812="F/S",$O$1812="")</formula>
    </cfRule>
    <cfRule type="cellIs" dxfId="2639" priority="7807" stopIfTrue="1" operator="notEqual">
      <formula>0</formula>
    </cfRule>
  </conditionalFormatting>
  <conditionalFormatting sqref="L1823">
    <cfRule type="expression" dxfId="2638" priority="7808" stopIfTrue="1">
      <formula>OR($L$1823="F/S",$L$1823="")</formula>
    </cfRule>
    <cfRule type="cellIs" dxfId="2637" priority="7809" stopIfTrue="1" operator="notEqual">
      <formula>0</formula>
    </cfRule>
  </conditionalFormatting>
  <conditionalFormatting sqref="O1823">
    <cfRule type="expression" dxfId="2636" priority="7810" stopIfTrue="1">
      <formula>OR($O$1823="F/S",$O$1823="")</formula>
    </cfRule>
    <cfRule type="cellIs" dxfId="2635" priority="7811" stopIfTrue="1" operator="notEqual">
      <formula>0</formula>
    </cfRule>
  </conditionalFormatting>
  <conditionalFormatting sqref="L1838">
    <cfRule type="expression" dxfId="2634" priority="7812" stopIfTrue="1">
      <formula>OR($L$1838="F/S",$L$1838="")</formula>
    </cfRule>
    <cfRule type="cellIs" dxfId="2633" priority="7813" stopIfTrue="1" operator="notEqual">
      <formula>0</formula>
    </cfRule>
  </conditionalFormatting>
  <conditionalFormatting sqref="O1838">
    <cfRule type="expression" dxfId="2632" priority="7814" stopIfTrue="1">
      <formula>OR($O$1838="F/S",$O$1838="")</formula>
    </cfRule>
    <cfRule type="cellIs" dxfId="2631" priority="7815" stopIfTrue="1" operator="notEqual">
      <formula>0</formula>
    </cfRule>
  </conditionalFormatting>
  <conditionalFormatting sqref="L1853">
    <cfRule type="expression" dxfId="2630" priority="7816" stopIfTrue="1">
      <formula>OR($L$1853="F/S",$L$1853="")</formula>
    </cfRule>
    <cfRule type="cellIs" dxfId="2629" priority="7817" stopIfTrue="1" operator="notEqual">
      <formula>0</formula>
    </cfRule>
  </conditionalFormatting>
  <conditionalFormatting sqref="O1853">
    <cfRule type="expression" dxfId="2628" priority="7818" stopIfTrue="1">
      <formula>OR($O$1853="F/S",$O$1853="")</formula>
    </cfRule>
    <cfRule type="cellIs" dxfId="2627" priority="7819" stopIfTrue="1" operator="notEqual">
      <formula>0</formula>
    </cfRule>
  </conditionalFormatting>
  <conditionalFormatting sqref="L1927">
    <cfRule type="expression" dxfId="2626" priority="7832" stopIfTrue="1">
      <formula>OR($L$1927="F/S",$L$1927="")</formula>
    </cfRule>
    <cfRule type="cellIs" dxfId="2625" priority="7833" stopIfTrue="1" operator="notEqual">
      <formula>0</formula>
    </cfRule>
  </conditionalFormatting>
  <conditionalFormatting sqref="O1927">
    <cfRule type="expression" dxfId="2624" priority="7834" stopIfTrue="1">
      <formula>OR($O$1927="F/S",$O$1927="")</formula>
    </cfRule>
    <cfRule type="cellIs" dxfId="2623" priority="7835" stopIfTrue="1" operator="notEqual">
      <formula>0</formula>
    </cfRule>
  </conditionalFormatting>
  <conditionalFormatting sqref="L1869">
    <cfRule type="expression" dxfId="2622" priority="7836" stopIfTrue="1">
      <formula>OR($L$1869="F/S",$L$1869="")</formula>
    </cfRule>
    <cfRule type="cellIs" dxfId="2621" priority="7837" stopIfTrue="1" operator="notEqual">
      <formula>0</formula>
    </cfRule>
  </conditionalFormatting>
  <conditionalFormatting sqref="O1869">
    <cfRule type="expression" dxfId="2620" priority="7838" stopIfTrue="1">
      <formula>OR($O$1869="F/S",$O$1869="")</formula>
    </cfRule>
    <cfRule type="cellIs" dxfId="2619" priority="7839" stopIfTrue="1" operator="notEqual">
      <formula>0</formula>
    </cfRule>
  </conditionalFormatting>
  <conditionalFormatting sqref="L1882">
    <cfRule type="expression" dxfId="2618" priority="7840" stopIfTrue="1">
      <formula>OR($L$1882="F/S",$L$1882="")</formula>
    </cfRule>
    <cfRule type="cellIs" dxfId="2617" priority="7841" stopIfTrue="1" operator="notEqual">
      <formula>0</formula>
    </cfRule>
  </conditionalFormatting>
  <conditionalFormatting sqref="O1882">
    <cfRule type="expression" dxfId="2616" priority="7842" stopIfTrue="1">
      <formula>OR($O$1882="F/S",$O$1882="")</formula>
    </cfRule>
    <cfRule type="cellIs" dxfId="2615" priority="7843" stopIfTrue="1" operator="notEqual">
      <formula>0</formula>
    </cfRule>
  </conditionalFormatting>
  <conditionalFormatting sqref="L1895">
    <cfRule type="expression" dxfId="2614" priority="7844" stopIfTrue="1">
      <formula>OR($L$1895="F/S",$L$1895="")</formula>
    </cfRule>
    <cfRule type="cellIs" dxfId="2613" priority="7845" stopIfTrue="1" operator="notEqual">
      <formula>0</formula>
    </cfRule>
  </conditionalFormatting>
  <conditionalFormatting sqref="O1895">
    <cfRule type="expression" dxfId="2612" priority="7846" stopIfTrue="1">
      <formula>OR($O$1895="F/S",$O$1895="")</formula>
    </cfRule>
    <cfRule type="cellIs" dxfId="2611" priority="7847" stopIfTrue="1" operator="notEqual">
      <formula>0</formula>
    </cfRule>
  </conditionalFormatting>
  <conditionalFormatting sqref="L1908">
    <cfRule type="expression" dxfId="2610" priority="7848" stopIfTrue="1">
      <formula>OR($L$1908="F/S",$L$1908="")</formula>
    </cfRule>
    <cfRule type="cellIs" dxfId="2609" priority="7849" stopIfTrue="1" operator="notEqual">
      <formula>0</formula>
    </cfRule>
  </conditionalFormatting>
  <conditionalFormatting sqref="O1908">
    <cfRule type="expression" dxfId="2608" priority="7850" stopIfTrue="1">
      <formula>OR($O$1908="F/S",$O$1908="")</formula>
    </cfRule>
    <cfRule type="cellIs" dxfId="2607" priority="7851" stopIfTrue="1" operator="notEqual">
      <formula>0</formula>
    </cfRule>
  </conditionalFormatting>
  <conditionalFormatting sqref="L1947">
    <cfRule type="expression" dxfId="2606" priority="7852" stopIfTrue="1">
      <formula>OR($L$1947="F/S",$L$1947="")</formula>
    </cfRule>
    <cfRule type="cellIs" dxfId="2605" priority="7853" stopIfTrue="1" operator="notEqual">
      <formula>0</formula>
    </cfRule>
  </conditionalFormatting>
  <conditionalFormatting sqref="O1947">
    <cfRule type="expression" dxfId="2604" priority="7854" stopIfTrue="1">
      <formula>OR($O$1947="F/S",$O$1947="")</formula>
    </cfRule>
    <cfRule type="cellIs" dxfId="2603" priority="7855" stopIfTrue="1" operator="notEqual">
      <formula>0</formula>
    </cfRule>
  </conditionalFormatting>
  <conditionalFormatting sqref="L1971">
    <cfRule type="expression" dxfId="2602" priority="7860" stopIfTrue="1">
      <formula>OR($L$1971="F/S",$L$1971="")</formula>
    </cfRule>
    <cfRule type="cellIs" dxfId="2601" priority="7861" stopIfTrue="1" operator="notEqual">
      <formula>0</formula>
    </cfRule>
  </conditionalFormatting>
  <conditionalFormatting sqref="O1971">
    <cfRule type="expression" dxfId="2600" priority="7862" stopIfTrue="1">
      <formula>OR($O$1971="F/S",$O$1971="")</formula>
    </cfRule>
    <cfRule type="cellIs" dxfId="2599" priority="7863" stopIfTrue="1" operator="notEqual">
      <formula>0</formula>
    </cfRule>
  </conditionalFormatting>
  <conditionalFormatting sqref="L1986">
    <cfRule type="expression" dxfId="2598" priority="7864" stopIfTrue="1">
      <formula>OR($L$1986="F/S",$L$1986="")</formula>
    </cfRule>
    <cfRule type="cellIs" dxfId="2597" priority="7865" stopIfTrue="1" operator="notEqual">
      <formula>0</formula>
    </cfRule>
  </conditionalFormatting>
  <conditionalFormatting sqref="O1986">
    <cfRule type="expression" dxfId="2596" priority="7866" stopIfTrue="1">
      <formula>OR($O$1986="F/S",$O$1986="")</formula>
    </cfRule>
    <cfRule type="cellIs" dxfId="2595" priority="7867" stopIfTrue="1" operator="notEqual">
      <formula>0</formula>
    </cfRule>
  </conditionalFormatting>
  <conditionalFormatting sqref="L2001">
    <cfRule type="expression" dxfId="2594" priority="7868" stopIfTrue="1">
      <formula>OR($L$2001="F/S",$L$2001="")</formula>
    </cfRule>
    <cfRule type="cellIs" dxfId="2593" priority="7869" stopIfTrue="1" operator="notEqual">
      <formula>0</formula>
    </cfRule>
  </conditionalFormatting>
  <conditionalFormatting sqref="O2001">
    <cfRule type="expression" dxfId="2592" priority="7870" stopIfTrue="1">
      <formula>OR($O$2001="F/S",$O$2001="")</formula>
    </cfRule>
    <cfRule type="cellIs" dxfId="2591" priority="7871" stopIfTrue="1" operator="notEqual">
      <formula>0</formula>
    </cfRule>
  </conditionalFormatting>
  <conditionalFormatting sqref="L2021">
    <cfRule type="expression" dxfId="2590" priority="7872" stopIfTrue="1">
      <formula>OR($L$2021="F/S",$L$2021="")</formula>
    </cfRule>
    <cfRule type="cellIs" dxfId="2589" priority="7873" stopIfTrue="1" operator="notEqual">
      <formula>0</formula>
    </cfRule>
  </conditionalFormatting>
  <conditionalFormatting sqref="O2021">
    <cfRule type="expression" dxfId="2588" priority="7874" stopIfTrue="1">
      <formula>OR($O$2021="F/S",$O$2021="")</formula>
    </cfRule>
    <cfRule type="cellIs" dxfId="2587" priority="7875" stopIfTrue="1" operator="notEqual">
      <formula>0</formula>
    </cfRule>
  </conditionalFormatting>
  <conditionalFormatting sqref="L1961">
    <cfRule type="expression" dxfId="2586" priority="7876" stopIfTrue="1">
      <formula>OR($L$1961="F/S",$L$1961="")</formula>
    </cfRule>
    <cfRule type="cellIs" dxfId="2585" priority="7877" stopIfTrue="1" operator="notEqual">
      <formula>0</formula>
    </cfRule>
  </conditionalFormatting>
  <conditionalFormatting sqref="O1961">
    <cfRule type="expression" dxfId="2584" priority="7878" stopIfTrue="1">
      <formula>OR($O$1961="F/S",$O$1961="")</formula>
    </cfRule>
    <cfRule type="cellIs" dxfId="2583" priority="7879" stopIfTrue="1" operator="notEqual">
      <formula>0</formula>
    </cfRule>
  </conditionalFormatting>
  <conditionalFormatting sqref="L2013">
    <cfRule type="expression" dxfId="2582" priority="7884" stopIfTrue="1">
      <formula>OR($L$2013="F/S",$L$2013="")</formula>
    </cfRule>
    <cfRule type="cellIs" dxfId="2581" priority="7885" stopIfTrue="1" operator="notEqual">
      <formula>0</formula>
    </cfRule>
  </conditionalFormatting>
  <conditionalFormatting sqref="O2013">
    <cfRule type="expression" dxfId="2580" priority="7886" stopIfTrue="1">
      <formula>OR($O$2013="F/S",$O$2013="")</formula>
    </cfRule>
    <cfRule type="cellIs" dxfId="2579" priority="7887" stopIfTrue="1" operator="notEqual">
      <formula>0</formula>
    </cfRule>
  </conditionalFormatting>
  <conditionalFormatting sqref="L2032">
    <cfRule type="expression" dxfId="2578" priority="7888" stopIfTrue="1">
      <formula>OR($L$2032="F/S",$L$2032="")</formula>
    </cfRule>
    <cfRule type="cellIs" dxfId="2577" priority="7889" stopIfTrue="1" operator="notEqual">
      <formula>0</formula>
    </cfRule>
  </conditionalFormatting>
  <conditionalFormatting sqref="O2032">
    <cfRule type="expression" dxfId="2576" priority="7890" stopIfTrue="1">
      <formula>OR($O$2032="F/S",$O$2032="")</formula>
    </cfRule>
    <cfRule type="cellIs" dxfId="2575" priority="7891" stopIfTrue="1" operator="notEqual">
      <formula>0</formula>
    </cfRule>
  </conditionalFormatting>
  <conditionalFormatting sqref="L2048">
    <cfRule type="expression" dxfId="2574" priority="7892" stopIfTrue="1">
      <formula>OR($L$2048="F/S",$L$2048="")</formula>
    </cfRule>
    <cfRule type="cellIs" dxfId="2573" priority="7893" stopIfTrue="1" operator="notEqual">
      <formula>0</formula>
    </cfRule>
  </conditionalFormatting>
  <conditionalFormatting sqref="O2048">
    <cfRule type="expression" dxfId="2572" priority="7894" stopIfTrue="1">
      <formula>OR($O$2048="F/S",$O$2048="")</formula>
    </cfRule>
    <cfRule type="cellIs" dxfId="2571" priority="7895" stopIfTrue="1" operator="notEqual">
      <formula>0</formula>
    </cfRule>
  </conditionalFormatting>
  <conditionalFormatting sqref="L2063">
    <cfRule type="expression" dxfId="2570" priority="7896" stopIfTrue="1">
      <formula>OR($L$2063="F/S",$L$2063="")</formula>
    </cfRule>
    <cfRule type="cellIs" dxfId="2569" priority="7897" stopIfTrue="1" operator="notEqual">
      <formula>0</formula>
    </cfRule>
  </conditionalFormatting>
  <conditionalFormatting sqref="O2063">
    <cfRule type="expression" dxfId="2568" priority="7898" stopIfTrue="1">
      <formula>OR($O$2063="F/S",$O$2063="")</formula>
    </cfRule>
    <cfRule type="cellIs" dxfId="2567" priority="7899" stopIfTrue="1" operator="notEqual">
      <formula>0</formula>
    </cfRule>
  </conditionalFormatting>
  <conditionalFormatting sqref="L2137">
    <cfRule type="expression" dxfId="2566" priority="7912" stopIfTrue="1">
      <formula>OR($L$2137="F/S",$L$2137="")</formula>
    </cfRule>
    <cfRule type="cellIs" dxfId="2565" priority="7913" stopIfTrue="1" operator="notEqual">
      <formula>0</formula>
    </cfRule>
  </conditionalFormatting>
  <conditionalFormatting sqref="O2137">
    <cfRule type="expression" dxfId="2564" priority="7914" stopIfTrue="1">
      <formula>OR($O$2137="F/S",$O$2137="")</formula>
    </cfRule>
    <cfRule type="cellIs" dxfId="2563" priority="7915" stopIfTrue="1" operator="notEqual">
      <formula>0</formula>
    </cfRule>
  </conditionalFormatting>
  <conditionalFormatting sqref="L2079">
    <cfRule type="expression" dxfId="2562" priority="7916" stopIfTrue="1">
      <formula>OR($L$2079="F/S",$L$2079="")</formula>
    </cfRule>
    <cfRule type="cellIs" dxfId="2561" priority="7917" stopIfTrue="1" operator="notEqual">
      <formula>0</formula>
    </cfRule>
  </conditionalFormatting>
  <conditionalFormatting sqref="O2079">
    <cfRule type="expression" dxfId="2560" priority="7918" stopIfTrue="1">
      <formula>OR($O$2079="F/S",$O$2079="")</formula>
    </cfRule>
    <cfRule type="cellIs" dxfId="2559" priority="7919" stopIfTrue="1" operator="notEqual">
      <formula>0</formula>
    </cfRule>
  </conditionalFormatting>
  <conditionalFormatting sqref="L2092">
    <cfRule type="expression" dxfId="2558" priority="7920" stopIfTrue="1">
      <formula>OR($L$2092="F/S",$L$2092="")</formula>
    </cfRule>
    <cfRule type="cellIs" dxfId="2557" priority="7921" stopIfTrue="1" operator="notEqual">
      <formula>0</formula>
    </cfRule>
  </conditionalFormatting>
  <conditionalFormatting sqref="O2092">
    <cfRule type="expression" dxfId="2556" priority="7922" stopIfTrue="1">
      <formula>OR($O$2092="F/S",$O$2092="")</formula>
    </cfRule>
    <cfRule type="cellIs" dxfId="2555" priority="7923" stopIfTrue="1" operator="notEqual">
      <formula>0</formula>
    </cfRule>
  </conditionalFormatting>
  <conditionalFormatting sqref="L2105">
    <cfRule type="expression" dxfId="2554" priority="7924" stopIfTrue="1">
      <formula>OR($L$2105="F/S",$L$2105="")</formula>
    </cfRule>
    <cfRule type="cellIs" dxfId="2553" priority="7925" stopIfTrue="1" operator="notEqual">
      <formula>0</formula>
    </cfRule>
  </conditionalFormatting>
  <conditionalFormatting sqref="O2105">
    <cfRule type="expression" dxfId="2552" priority="7926" stopIfTrue="1">
      <formula>OR($O$2105="F/S",$O$2105="")</formula>
    </cfRule>
    <cfRule type="cellIs" dxfId="2551" priority="7927" stopIfTrue="1" operator="notEqual">
      <formula>0</formula>
    </cfRule>
  </conditionalFormatting>
  <conditionalFormatting sqref="L2118">
    <cfRule type="expression" dxfId="2550" priority="7928" stopIfTrue="1">
      <formula>OR($L$2118="F/S",$L$2118="")</formula>
    </cfRule>
    <cfRule type="cellIs" dxfId="2549" priority="7929" stopIfTrue="1" operator="notEqual">
      <formula>0</formula>
    </cfRule>
  </conditionalFormatting>
  <conditionalFormatting sqref="O2118">
    <cfRule type="expression" dxfId="2548" priority="7930" stopIfTrue="1">
      <formula>OR($O$2118="F/S",$O$2118="")</formula>
    </cfRule>
    <cfRule type="cellIs" dxfId="2547" priority="7931" stopIfTrue="1" operator="notEqual">
      <formula>0</formula>
    </cfRule>
  </conditionalFormatting>
  <conditionalFormatting sqref="L2157">
    <cfRule type="expression" dxfId="2546" priority="7932" stopIfTrue="1">
      <formula>OR($L$2157="F/S",$L$2157="")</formula>
    </cfRule>
    <cfRule type="cellIs" dxfId="2545" priority="7933" stopIfTrue="1" operator="notEqual">
      <formula>0</formula>
    </cfRule>
  </conditionalFormatting>
  <conditionalFormatting sqref="O2157">
    <cfRule type="expression" dxfId="2544" priority="7934" stopIfTrue="1">
      <formula>OR($O$2157="F/S",$O$2157="")</formula>
    </cfRule>
    <cfRule type="cellIs" dxfId="2543" priority="7935" stopIfTrue="1" operator="notEqual">
      <formula>0</formula>
    </cfRule>
  </conditionalFormatting>
  <conditionalFormatting sqref="L2171">
    <cfRule type="expression" dxfId="2542" priority="7936" stopIfTrue="1">
      <formula>OR($L$2171="F/S",$L$2171="")</formula>
    </cfRule>
    <cfRule type="cellIs" dxfId="2541" priority="7937" stopIfTrue="1" operator="notEqual">
      <formula>0</formula>
    </cfRule>
  </conditionalFormatting>
  <conditionalFormatting sqref="O2171">
    <cfRule type="expression" dxfId="2540" priority="7938" stopIfTrue="1">
      <formula>OR($O$2171="F/S",$O$2171="")</formula>
    </cfRule>
    <cfRule type="cellIs" dxfId="2539" priority="7939" stopIfTrue="1" operator="notEqual">
      <formula>0</formula>
    </cfRule>
  </conditionalFormatting>
  <conditionalFormatting sqref="L2181">
    <cfRule type="expression" dxfId="2538" priority="7940" stopIfTrue="1">
      <formula>OR($L$2181="F/S",$L$2181="")</formula>
    </cfRule>
    <cfRule type="cellIs" dxfId="2537" priority="7941" stopIfTrue="1" operator="notEqual">
      <formula>0</formula>
    </cfRule>
  </conditionalFormatting>
  <conditionalFormatting sqref="O2181">
    <cfRule type="expression" dxfId="2536" priority="7942" stopIfTrue="1">
      <formula>OR($O$2181="F/S",$O$2181="")</formula>
    </cfRule>
    <cfRule type="cellIs" dxfId="2535" priority="7943" stopIfTrue="1" operator="notEqual">
      <formula>0</formula>
    </cfRule>
  </conditionalFormatting>
  <conditionalFormatting sqref="L2202">
    <cfRule type="expression" dxfId="2534" priority="7944" stopIfTrue="1">
      <formula>OR($L$2202="F/S",$L$2202="")</formula>
    </cfRule>
    <cfRule type="cellIs" dxfId="2533" priority="7945" stopIfTrue="1" operator="notEqual">
      <formula>0</formula>
    </cfRule>
  </conditionalFormatting>
  <conditionalFormatting sqref="O2202">
    <cfRule type="expression" dxfId="2532" priority="7946" stopIfTrue="1">
      <formula>OR($O$2202="F/S",$O$2202="")</formula>
    </cfRule>
    <cfRule type="cellIs" dxfId="2531" priority="7947" stopIfTrue="1" operator="notEqual">
      <formula>0</formula>
    </cfRule>
  </conditionalFormatting>
  <conditionalFormatting sqref="L2234">
    <cfRule type="expression" dxfId="2530" priority="7948" stopIfTrue="1">
      <formula>OR($L$2234="F/S",$L$2234="")</formula>
    </cfRule>
    <cfRule type="cellIs" dxfId="2529" priority="7949" stopIfTrue="1" operator="notEqual">
      <formula>0</formula>
    </cfRule>
  </conditionalFormatting>
  <conditionalFormatting sqref="O2234">
    <cfRule type="expression" dxfId="2528" priority="7950" stopIfTrue="1">
      <formula>OR($O$2234="F/S",$O$2234="")</formula>
    </cfRule>
    <cfRule type="cellIs" dxfId="2527" priority="7951" stopIfTrue="1" operator="notEqual">
      <formula>0</formula>
    </cfRule>
  </conditionalFormatting>
  <conditionalFormatting sqref="L2247">
    <cfRule type="expression" dxfId="2526" priority="7952" stopIfTrue="1">
      <formula>OR($L$2247="F/S",$L$2247="")</formula>
    </cfRule>
    <cfRule type="cellIs" dxfId="2525" priority="7953" stopIfTrue="1" operator="notEqual">
      <formula>0</formula>
    </cfRule>
  </conditionalFormatting>
  <conditionalFormatting sqref="O2247">
    <cfRule type="expression" dxfId="2524" priority="7954" stopIfTrue="1">
      <formula>OR($O$2247="F/S",$O$2247="")</formula>
    </cfRule>
    <cfRule type="cellIs" dxfId="2523" priority="7955" stopIfTrue="1" operator="notEqual">
      <formula>0</formula>
    </cfRule>
  </conditionalFormatting>
  <conditionalFormatting sqref="L2260">
    <cfRule type="expression" dxfId="2522" priority="7956" stopIfTrue="1">
      <formula>OR($L$2260="F/S",$L$2260="")</formula>
    </cfRule>
    <cfRule type="cellIs" dxfId="2521" priority="7957" stopIfTrue="1" operator="notEqual">
      <formula>0</formula>
    </cfRule>
  </conditionalFormatting>
  <conditionalFormatting sqref="O2260">
    <cfRule type="expression" dxfId="2520" priority="7958" stopIfTrue="1">
      <formula>OR($O$2260="F/S",$O$2260="")</formula>
    </cfRule>
    <cfRule type="cellIs" dxfId="2519" priority="7959" stopIfTrue="1" operator="notEqual">
      <formula>0</formula>
    </cfRule>
  </conditionalFormatting>
  <conditionalFormatting sqref="L2315">
    <cfRule type="expression" dxfId="2518" priority="7964" stopIfTrue="1">
      <formula>OR($L$2315="F/S",$L$2315="")</formula>
    </cfRule>
    <cfRule type="cellIs" dxfId="2517" priority="7965" stopIfTrue="1" operator="notEqual">
      <formula>0</formula>
    </cfRule>
  </conditionalFormatting>
  <conditionalFormatting sqref="O2315">
    <cfRule type="expression" dxfId="2516" priority="7966" stopIfTrue="1">
      <formula>OR($O$2315="F/S",$O$2315="")</formula>
    </cfRule>
    <cfRule type="cellIs" dxfId="2515" priority="7967" stopIfTrue="1" operator="notEqual">
      <formula>0</formula>
    </cfRule>
  </conditionalFormatting>
  <conditionalFormatting sqref="L2273">
    <cfRule type="expression" dxfId="2514" priority="7976" stopIfTrue="1">
      <formula>OR($L$2273="F/S",$L$2273="")</formula>
    </cfRule>
    <cfRule type="cellIs" dxfId="2513" priority="7977" stopIfTrue="1" operator="notEqual">
      <formula>0</formula>
    </cfRule>
  </conditionalFormatting>
  <conditionalFormatting sqref="O2273">
    <cfRule type="expression" dxfId="2512" priority="7978" stopIfTrue="1">
      <formula>OR($O$2273="F/S",$O$2273="")</formula>
    </cfRule>
    <cfRule type="cellIs" dxfId="2511" priority="7979" stopIfTrue="1" operator="notEqual">
      <formula>0</formula>
    </cfRule>
  </conditionalFormatting>
  <conditionalFormatting sqref="L2293">
    <cfRule type="expression" dxfId="2510" priority="7980" stopIfTrue="1">
      <formula>OR($L$2293="F/S",$L$2293="")</formula>
    </cfRule>
    <cfRule type="cellIs" dxfId="2509" priority="7981" stopIfTrue="1" operator="notEqual">
      <formula>0</formula>
    </cfRule>
  </conditionalFormatting>
  <conditionalFormatting sqref="O2293">
    <cfRule type="expression" dxfId="2508" priority="7982" stopIfTrue="1">
      <formula>OR($O$2293="F/S",$O$2293="")</formula>
    </cfRule>
    <cfRule type="cellIs" dxfId="2507" priority="7983" stopIfTrue="1" operator="notEqual">
      <formula>0</formula>
    </cfRule>
  </conditionalFormatting>
  <conditionalFormatting sqref="L2349">
    <cfRule type="expression" dxfId="2506" priority="7984" stopIfTrue="1">
      <formula>OR($L$2349="F/S",$L$2349="")</formula>
    </cfRule>
    <cfRule type="cellIs" dxfId="2505" priority="7985" stopIfTrue="1" operator="notEqual">
      <formula>0</formula>
    </cfRule>
  </conditionalFormatting>
  <conditionalFormatting sqref="O2349">
    <cfRule type="expression" dxfId="2504" priority="7986" stopIfTrue="1">
      <formula>OR($O$2349="F/S",$O$2349="")</formula>
    </cfRule>
    <cfRule type="cellIs" dxfId="2503" priority="7987" stopIfTrue="1" operator="notEqual">
      <formula>0</formula>
    </cfRule>
  </conditionalFormatting>
  <conditionalFormatting sqref="L2330">
    <cfRule type="expression" dxfId="2502" priority="7988" stopIfTrue="1">
      <formula>OR($L$2330="F/S",$L$2330="")</formula>
    </cfRule>
    <cfRule type="cellIs" dxfId="2501" priority="7989" stopIfTrue="1" operator="notEqual">
      <formula>0</formula>
    </cfRule>
  </conditionalFormatting>
  <conditionalFormatting sqref="O2330">
    <cfRule type="expression" dxfId="2500" priority="7990" stopIfTrue="1">
      <formula>OR($O$2330="F/S",$O$2330="")</formula>
    </cfRule>
    <cfRule type="cellIs" dxfId="2499" priority="7991" stopIfTrue="1" operator="notEqual">
      <formula>0</formula>
    </cfRule>
  </conditionalFormatting>
  <conditionalFormatting sqref="L2378">
    <cfRule type="expression" dxfId="2498" priority="7996" stopIfTrue="1">
      <formula>OR($L$2378="F/S",$L$2378="")</formula>
    </cfRule>
    <cfRule type="cellIs" dxfId="2497" priority="7997" stopIfTrue="1" operator="notEqual">
      <formula>0</formula>
    </cfRule>
  </conditionalFormatting>
  <conditionalFormatting sqref="O2378">
    <cfRule type="expression" dxfId="2496" priority="7998" stopIfTrue="1">
      <formula>OR($O$2378="F/S",$O$2378="")</formula>
    </cfRule>
    <cfRule type="cellIs" dxfId="2495" priority="7999" stopIfTrue="1" operator="notEqual">
      <formula>0</formula>
    </cfRule>
  </conditionalFormatting>
  <conditionalFormatting sqref="L2391">
    <cfRule type="expression" dxfId="2494" priority="8004" stopIfTrue="1">
      <formula>OR($L$2391="F/S",$L$2391="")</formula>
    </cfRule>
    <cfRule type="cellIs" dxfId="2493" priority="8005" stopIfTrue="1" operator="notEqual">
      <formula>0</formula>
    </cfRule>
  </conditionalFormatting>
  <conditionalFormatting sqref="O2391">
    <cfRule type="expression" dxfId="2492" priority="8006" stopIfTrue="1">
      <formula>OR($O$2391="F/S",$O$2391="")</formula>
    </cfRule>
    <cfRule type="cellIs" dxfId="2491" priority="8007" stopIfTrue="1" operator="notEqual">
      <formula>0</formula>
    </cfRule>
  </conditionalFormatting>
  <conditionalFormatting sqref="L2368">
    <cfRule type="expression" dxfId="2490" priority="8008" stopIfTrue="1">
      <formula>OR($L$2368="F/S",$L$2368="")</formula>
    </cfRule>
    <cfRule type="cellIs" dxfId="2489" priority="8009" stopIfTrue="1" operator="notEqual">
      <formula>0</formula>
    </cfRule>
  </conditionalFormatting>
  <conditionalFormatting sqref="O2368">
    <cfRule type="expression" dxfId="2488" priority="8010" stopIfTrue="1">
      <formula>OR($O$2368="F/S",$O$2368="")</formula>
    </cfRule>
    <cfRule type="cellIs" dxfId="2487" priority="8011" stopIfTrue="1" operator="notEqual">
      <formula>0</formula>
    </cfRule>
  </conditionalFormatting>
  <conditionalFormatting sqref="L2401">
    <cfRule type="expression" dxfId="2486" priority="8012" stopIfTrue="1">
      <formula>OR($L$2401="F/S",$L$2401="")</formula>
    </cfRule>
    <cfRule type="cellIs" dxfId="2485" priority="8013" stopIfTrue="1" operator="notEqual">
      <formula>0</formula>
    </cfRule>
  </conditionalFormatting>
  <conditionalFormatting sqref="O2401">
    <cfRule type="expression" dxfId="2484" priority="8014" stopIfTrue="1">
      <formula>OR($O$2401="F/S",$O$2401="")</formula>
    </cfRule>
    <cfRule type="cellIs" dxfId="2483" priority="8015" stopIfTrue="1" operator="notEqual">
      <formula>0</formula>
    </cfRule>
  </conditionalFormatting>
  <conditionalFormatting sqref="L2463">
    <cfRule type="expression" dxfId="2482" priority="8016" stopIfTrue="1">
      <formula>OR($L$2463="F/S",$L$2463="")</formula>
    </cfRule>
    <cfRule type="cellIs" dxfId="2481" priority="8017" stopIfTrue="1" operator="notEqual">
      <formula>0</formula>
    </cfRule>
  </conditionalFormatting>
  <conditionalFormatting sqref="O2463">
    <cfRule type="expression" dxfId="2480" priority="8018" stopIfTrue="1">
      <formula>OR($O$2463="F/S",$O$2463="")</formula>
    </cfRule>
    <cfRule type="cellIs" dxfId="2479" priority="8019" stopIfTrue="1" operator="notEqual">
      <formula>0</formula>
    </cfRule>
  </conditionalFormatting>
  <conditionalFormatting sqref="L2497">
    <cfRule type="expression" dxfId="2478" priority="8024" stopIfTrue="1">
      <formula>OR($L$2497="F/S",$L$2497="")</formula>
    </cfRule>
    <cfRule type="cellIs" dxfId="2477" priority="8025" stopIfTrue="1" operator="notEqual">
      <formula>0</formula>
    </cfRule>
  </conditionalFormatting>
  <conditionalFormatting sqref="O2497">
    <cfRule type="expression" dxfId="2476" priority="8026" stopIfTrue="1">
      <formula>OR($O$2497="F/S",$O$2497="")</formula>
    </cfRule>
    <cfRule type="cellIs" dxfId="2475" priority="8027" stopIfTrue="1" operator="notEqual">
      <formula>0</formula>
    </cfRule>
  </conditionalFormatting>
  <conditionalFormatting sqref="L2506">
    <cfRule type="expression" dxfId="2474" priority="8028" stopIfTrue="1">
      <formula>OR($L$2506="F/S",$L$2506="")</formula>
    </cfRule>
    <cfRule type="cellIs" dxfId="2473" priority="8029" stopIfTrue="1" operator="notEqual">
      <formula>0</formula>
    </cfRule>
  </conditionalFormatting>
  <conditionalFormatting sqref="O2506">
    <cfRule type="expression" dxfId="2472" priority="8030" stopIfTrue="1">
      <formula>OR($O$2506="F/S",$O$2506="")</formula>
    </cfRule>
    <cfRule type="cellIs" dxfId="2471" priority="8031" stopIfTrue="1" operator="notEqual">
      <formula>0</formula>
    </cfRule>
  </conditionalFormatting>
  <conditionalFormatting sqref="L2520">
    <cfRule type="expression" dxfId="2470" priority="8032" stopIfTrue="1">
      <formula>OR($L$2520="F/S",$L$2520="")</formula>
    </cfRule>
    <cfRule type="cellIs" dxfId="2469" priority="8033" stopIfTrue="1" operator="notEqual">
      <formula>0</formula>
    </cfRule>
  </conditionalFormatting>
  <conditionalFormatting sqref="O2520">
    <cfRule type="expression" dxfId="2468" priority="8034" stopIfTrue="1">
      <formula>OR($O$2520="F/S",$O$2520="")</formula>
    </cfRule>
    <cfRule type="cellIs" dxfId="2467" priority="8035" stopIfTrue="1" operator="notEqual">
      <formula>0</formula>
    </cfRule>
  </conditionalFormatting>
  <conditionalFormatting sqref="L2557">
    <cfRule type="expression" dxfId="2466" priority="8068" stopIfTrue="1">
      <formula>OR($L$2557="F/S",$L$2557="")</formula>
    </cfRule>
    <cfRule type="cellIs" dxfId="2465" priority="8069" stopIfTrue="1" operator="notEqual">
      <formula>0</formula>
    </cfRule>
  </conditionalFormatting>
  <conditionalFormatting sqref="O2557">
    <cfRule type="expression" dxfId="2464" priority="8070" stopIfTrue="1">
      <formula>OR($O$2557="F/S",$O$2557="")</formula>
    </cfRule>
    <cfRule type="cellIs" dxfId="2463" priority="8071" stopIfTrue="1" operator="notEqual">
      <formula>0</formula>
    </cfRule>
  </conditionalFormatting>
  <conditionalFormatting sqref="L2599">
    <cfRule type="expression" dxfId="2462" priority="8072" stopIfTrue="1">
      <formula>OR($L$2599="F/S",$L$2599="")</formula>
    </cfRule>
    <cfRule type="cellIs" dxfId="2461" priority="8073" stopIfTrue="1" operator="notEqual">
      <formula>0</formula>
    </cfRule>
  </conditionalFormatting>
  <conditionalFormatting sqref="O2599">
    <cfRule type="expression" dxfId="2460" priority="8074" stopIfTrue="1">
      <formula>OR($O$2599="F/S",$O$2599="")</formula>
    </cfRule>
    <cfRule type="cellIs" dxfId="2459" priority="8075" stopIfTrue="1" operator="notEqual">
      <formula>0</formula>
    </cfRule>
  </conditionalFormatting>
  <conditionalFormatting sqref="L2618">
    <cfRule type="expression" dxfId="2458" priority="8076" stopIfTrue="1">
      <formula>OR($L$2618="F/S",$L$2618="")</formula>
    </cfRule>
    <cfRule type="cellIs" dxfId="2457" priority="8077" stopIfTrue="1" operator="notEqual">
      <formula>0</formula>
    </cfRule>
  </conditionalFormatting>
  <conditionalFormatting sqref="O2618">
    <cfRule type="expression" dxfId="2456" priority="8078" stopIfTrue="1">
      <formula>OR($O$2618="F/S",$O$2618="")</formula>
    </cfRule>
    <cfRule type="cellIs" dxfId="2455" priority="8079" stopIfTrue="1" operator="notEqual">
      <formula>0</formula>
    </cfRule>
  </conditionalFormatting>
  <conditionalFormatting sqref="L2628">
    <cfRule type="expression" dxfId="2454" priority="8096" stopIfTrue="1">
      <formula>OR($L$2628="F/S",$L$2628="")</formula>
    </cfRule>
    <cfRule type="cellIs" dxfId="2453" priority="8097" stopIfTrue="1" operator="notEqual">
      <formula>0</formula>
    </cfRule>
  </conditionalFormatting>
  <conditionalFormatting sqref="O2628">
    <cfRule type="expression" dxfId="2452" priority="8098" stopIfTrue="1">
      <formula>OR($O$2628="F/S",$O$2628="")</formula>
    </cfRule>
    <cfRule type="cellIs" dxfId="2451" priority="8099" stopIfTrue="1" operator="notEqual">
      <formula>0</formula>
    </cfRule>
  </conditionalFormatting>
  <conditionalFormatting sqref="L2639">
    <cfRule type="expression" dxfId="2450" priority="8104" stopIfTrue="1">
      <formula>OR($L$2639="F/S",$L$2639="")</formula>
    </cfRule>
    <cfRule type="cellIs" dxfId="2449" priority="8105" stopIfTrue="1" operator="notEqual">
      <formula>0</formula>
    </cfRule>
  </conditionalFormatting>
  <conditionalFormatting sqref="O2639">
    <cfRule type="expression" dxfId="2448" priority="8106" stopIfTrue="1">
      <formula>OR($O$2639="F/S",$O$2639="")</formula>
    </cfRule>
    <cfRule type="cellIs" dxfId="2447" priority="8107" stopIfTrue="1" operator="notEqual">
      <formula>0</formula>
    </cfRule>
  </conditionalFormatting>
  <conditionalFormatting sqref="L2648">
    <cfRule type="expression" dxfId="2446" priority="8108" stopIfTrue="1">
      <formula>OR($L$2648="F/S",$L$2648="")</formula>
    </cfRule>
    <cfRule type="cellIs" dxfId="2445" priority="8109" stopIfTrue="1" operator="notEqual">
      <formula>0</formula>
    </cfRule>
  </conditionalFormatting>
  <conditionalFormatting sqref="O2648">
    <cfRule type="expression" dxfId="2444" priority="8110" stopIfTrue="1">
      <formula>OR($O$2648="F/S",$O$2648="")</formula>
    </cfRule>
    <cfRule type="cellIs" dxfId="2443" priority="8111" stopIfTrue="1" operator="notEqual">
      <formula>0</formula>
    </cfRule>
  </conditionalFormatting>
  <conditionalFormatting sqref="L2705">
    <cfRule type="expression" dxfId="2442" priority="8116" stopIfTrue="1">
      <formula>OR($L$2705="F/S",$L$2705="")</formula>
    </cfRule>
    <cfRule type="cellIs" dxfId="2441" priority="8117" stopIfTrue="1" operator="notEqual">
      <formula>0</formula>
    </cfRule>
  </conditionalFormatting>
  <conditionalFormatting sqref="O2705">
    <cfRule type="expression" dxfId="2440" priority="8118" stopIfTrue="1">
      <formula>OR($O$2705="F/S",$O$2705="")</formula>
    </cfRule>
    <cfRule type="cellIs" dxfId="2439" priority="8119" stopIfTrue="1" operator="notEqual">
      <formula>0</formula>
    </cfRule>
  </conditionalFormatting>
  <conditionalFormatting sqref="L2719">
    <cfRule type="expression" dxfId="2438" priority="8120" stopIfTrue="1">
      <formula>OR($L$2719="F/S",$L$2719="")</formula>
    </cfRule>
    <cfRule type="cellIs" dxfId="2437" priority="8121" stopIfTrue="1" operator="notEqual">
      <formula>0</formula>
    </cfRule>
  </conditionalFormatting>
  <conditionalFormatting sqref="O2719">
    <cfRule type="expression" dxfId="2436" priority="8122" stopIfTrue="1">
      <formula>OR($O$2719="F/S",$O$2719="")</formula>
    </cfRule>
    <cfRule type="cellIs" dxfId="2435" priority="8123" stopIfTrue="1" operator="notEqual">
      <formula>0</formula>
    </cfRule>
  </conditionalFormatting>
  <conditionalFormatting sqref="L2733">
    <cfRule type="expression" dxfId="2434" priority="8124" stopIfTrue="1">
      <formula>OR($L$2733="F/S",$L$2733="")</formula>
    </cfRule>
    <cfRule type="cellIs" dxfId="2433" priority="8125" stopIfTrue="1" operator="notEqual">
      <formula>0</formula>
    </cfRule>
  </conditionalFormatting>
  <conditionalFormatting sqref="O2733">
    <cfRule type="expression" dxfId="2432" priority="8126" stopIfTrue="1">
      <formula>OR($O$2733="F/S",$O$2733="")</formula>
    </cfRule>
    <cfRule type="cellIs" dxfId="2431" priority="8127" stopIfTrue="1" operator="notEqual">
      <formula>0</formula>
    </cfRule>
  </conditionalFormatting>
  <conditionalFormatting sqref="L2748">
    <cfRule type="expression" dxfId="2430" priority="8128" stopIfTrue="1">
      <formula>OR($L$2748="F/S",$L$2748="")</formula>
    </cfRule>
    <cfRule type="cellIs" dxfId="2429" priority="8129" stopIfTrue="1" operator="notEqual">
      <formula>0</formula>
    </cfRule>
  </conditionalFormatting>
  <conditionalFormatting sqref="O2748">
    <cfRule type="expression" dxfId="2428" priority="8130" stopIfTrue="1">
      <formula>OR($O$2748="F/S",$O$2748="")</formula>
    </cfRule>
    <cfRule type="cellIs" dxfId="2427" priority="8131" stopIfTrue="1" operator="notEqual">
      <formula>0</formula>
    </cfRule>
  </conditionalFormatting>
  <conditionalFormatting sqref="L2761">
    <cfRule type="expression" dxfId="2426" priority="8132" stopIfTrue="1">
      <formula>OR($L$2761="F/S",$L$2761="")</formula>
    </cfRule>
    <cfRule type="cellIs" dxfId="2425" priority="8133" stopIfTrue="1" operator="notEqual">
      <formula>0</formula>
    </cfRule>
  </conditionalFormatting>
  <conditionalFormatting sqref="O2761">
    <cfRule type="expression" dxfId="2424" priority="8134" stopIfTrue="1">
      <formula>OR($O$2761="F/S",$O$2761="")</formula>
    </cfRule>
    <cfRule type="cellIs" dxfId="2423" priority="8135" stopIfTrue="1" operator="notEqual">
      <formula>0</formula>
    </cfRule>
  </conditionalFormatting>
  <conditionalFormatting sqref="L2771">
    <cfRule type="expression" dxfId="2422" priority="8152" stopIfTrue="1">
      <formula>OR($L$2771="F/S",$L$2771="")</formula>
    </cfRule>
    <cfRule type="cellIs" dxfId="2421" priority="8153" stopIfTrue="1" operator="notEqual">
      <formula>0</formula>
    </cfRule>
  </conditionalFormatting>
  <conditionalFormatting sqref="O2771">
    <cfRule type="expression" dxfId="2420" priority="8154" stopIfTrue="1">
      <formula>OR($O$2771="F/S",$O$2771="")</formula>
    </cfRule>
    <cfRule type="cellIs" dxfId="2419" priority="8155" stopIfTrue="1" operator="notEqual">
      <formula>0</formula>
    </cfRule>
  </conditionalFormatting>
  <conditionalFormatting sqref="L2781">
    <cfRule type="expression" dxfId="2418" priority="8160" stopIfTrue="1">
      <formula>OR($L$2781="F/S",$L$2781="")</formula>
    </cfRule>
    <cfRule type="cellIs" dxfId="2417" priority="8161" stopIfTrue="1" operator="notEqual">
      <formula>0</formula>
    </cfRule>
  </conditionalFormatting>
  <conditionalFormatting sqref="O2781">
    <cfRule type="expression" dxfId="2416" priority="8162" stopIfTrue="1">
      <formula>OR($O$2781="F/S",$O$2781="")</formula>
    </cfRule>
    <cfRule type="cellIs" dxfId="2415" priority="8163" stopIfTrue="1" operator="notEqual">
      <formula>0</formula>
    </cfRule>
  </conditionalFormatting>
  <conditionalFormatting sqref="L2797">
    <cfRule type="expression" dxfId="2414" priority="8164" stopIfTrue="1">
      <formula>OR($L$2797="F/S",$L$2797="")</formula>
    </cfRule>
    <cfRule type="cellIs" dxfId="2413" priority="8165" stopIfTrue="1" operator="notEqual">
      <formula>0</formula>
    </cfRule>
  </conditionalFormatting>
  <conditionalFormatting sqref="O2797">
    <cfRule type="expression" dxfId="2412" priority="8166" stopIfTrue="1">
      <formula>OR($O$2797="F/S",$O$2797="")</formula>
    </cfRule>
    <cfRule type="cellIs" dxfId="2411" priority="8167" stopIfTrue="1" operator="notEqual">
      <formula>0</formula>
    </cfRule>
  </conditionalFormatting>
  <conditionalFormatting sqref="L2810">
    <cfRule type="expression" dxfId="2410" priority="8168" stopIfTrue="1">
      <formula>OR($L$2810="F/S",$L$2810="")</formula>
    </cfRule>
    <cfRule type="cellIs" dxfId="2409" priority="8169" stopIfTrue="1" operator="notEqual">
      <formula>0</formula>
    </cfRule>
  </conditionalFormatting>
  <conditionalFormatting sqref="O2810">
    <cfRule type="expression" dxfId="2408" priority="8170" stopIfTrue="1">
      <formula>OR($O$2810="F/S",$O$2810="")</formula>
    </cfRule>
    <cfRule type="cellIs" dxfId="2407" priority="8171" stopIfTrue="1" operator="notEqual">
      <formula>0</formula>
    </cfRule>
  </conditionalFormatting>
  <conditionalFormatting sqref="L2821">
    <cfRule type="expression" dxfId="2406" priority="8172" stopIfTrue="1">
      <formula>OR($L$2821="F/S",$L$2821="")</formula>
    </cfRule>
    <cfRule type="cellIs" dxfId="2405" priority="8173" stopIfTrue="1" operator="notEqual">
      <formula>0</formula>
    </cfRule>
  </conditionalFormatting>
  <conditionalFormatting sqref="O2821">
    <cfRule type="expression" dxfId="2404" priority="8174" stopIfTrue="1">
      <formula>OR($O$2821="F/S",$O$2821="")</formula>
    </cfRule>
    <cfRule type="cellIs" dxfId="2403" priority="8175" stopIfTrue="1" operator="notEqual">
      <formula>0</formula>
    </cfRule>
  </conditionalFormatting>
  <conditionalFormatting sqref="L2830">
    <cfRule type="expression" dxfId="2402" priority="8176" stopIfTrue="1">
      <formula>OR($L$2830="F/S",$L$2830="")</formula>
    </cfRule>
    <cfRule type="cellIs" dxfId="2401" priority="8177" stopIfTrue="1" operator="notEqual">
      <formula>0</formula>
    </cfRule>
  </conditionalFormatting>
  <conditionalFormatting sqref="O2830">
    <cfRule type="expression" dxfId="2400" priority="8178" stopIfTrue="1">
      <formula>OR($O$2830="F/S",$O$2830="")</formula>
    </cfRule>
    <cfRule type="cellIs" dxfId="2399" priority="8179" stopIfTrue="1" operator="notEqual">
      <formula>0</formula>
    </cfRule>
  </conditionalFormatting>
  <conditionalFormatting sqref="L2877">
    <cfRule type="expression" dxfId="2398" priority="8188" stopIfTrue="1">
      <formula>OR($L$2877="F/S",$L$2877="")</formula>
    </cfRule>
    <cfRule type="cellIs" dxfId="2397" priority="8189" stopIfTrue="1" operator="notEqual">
      <formula>0</formula>
    </cfRule>
  </conditionalFormatting>
  <conditionalFormatting sqref="O2877">
    <cfRule type="expression" dxfId="2396" priority="8190" stopIfTrue="1">
      <formula>OR($O$2877="F/S",$O$2877="")</formula>
    </cfRule>
    <cfRule type="cellIs" dxfId="2395" priority="8191" stopIfTrue="1" operator="notEqual">
      <formula>0</formula>
    </cfRule>
  </conditionalFormatting>
  <conditionalFormatting sqref="L2847">
    <cfRule type="expression" dxfId="2394" priority="8192" stopIfTrue="1">
      <formula>OR($L$2847="F/S",$L$2847="")</formula>
    </cfRule>
    <cfRule type="cellIs" dxfId="2393" priority="8193" stopIfTrue="1" operator="notEqual">
      <formula>0</formula>
    </cfRule>
  </conditionalFormatting>
  <conditionalFormatting sqref="O2847">
    <cfRule type="expression" dxfId="2392" priority="8194" stopIfTrue="1">
      <formula>OR($O$2847="F/S",$O$2847="")</formula>
    </cfRule>
    <cfRule type="cellIs" dxfId="2391" priority="8195" stopIfTrue="1" operator="notEqual">
      <formula>0</formula>
    </cfRule>
  </conditionalFormatting>
  <conditionalFormatting sqref="L2862">
    <cfRule type="expression" dxfId="2390" priority="8196" stopIfTrue="1">
      <formula>OR($L$2862="F/S",$L$2862="")</formula>
    </cfRule>
    <cfRule type="cellIs" dxfId="2389" priority="8197" stopIfTrue="1" operator="notEqual">
      <formula>0</formula>
    </cfRule>
  </conditionalFormatting>
  <conditionalFormatting sqref="O2862">
    <cfRule type="expression" dxfId="2388" priority="8198" stopIfTrue="1">
      <formula>OR($O$2862="F/S",$O$2862="")</formula>
    </cfRule>
    <cfRule type="cellIs" dxfId="2387" priority="8199" stopIfTrue="1" operator="notEqual">
      <formula>0</formula>
    </cfRule>
  </conditionalFormatting>
  <conditionalFormatting sqref="L2897">
    <cfRule type="expression" dxfId="2386" priority="8200" stopIfTrue="1">
      <formula>OR($L$2897="F/S",$L$2897="")</formula>
    </cfRule>
    <cfRule type="cellIs" dxfId="2385" priority="8201" stopIfTrue="1" operator="notEqual">
      <formula>0</formula>
    </cfRule>
  </conditionalFormatting>
  <conditionalFormatting sqref="O2897">
    <cfRule type="expression" dxfId="2384" priority="8202" stopIfTrue="1">
      <formula>OR($O$2897="F/S",$O$2897="")</formula>
    </cfRule>
    <cfRule type="cellIs" dxfId="2383" priority="8203" stopIfTrue="1" operator="notEqual">
      <formula>0</formula>
    </cfRule>
  </conditionalFormatting>
  <conditionalFormatting sqref="L2908">
    <cfRule type="expression" dxfId="2382" priority="8208" stopIfTrue="1">
      <formula>OR($L$2908="F/S",$L$2908="")</formula>
    </cfRule>
    <cfRule type="cellIs" dxfId="2381" priority="8209" stopIfTrue="1" operator="notEqual">
      <formula>0</formula>
    </cfRule>
  </conditionalFormatting>
  <conditionalFormatting sqref="O2908">
    <cfRule type="expression" dxfId="2380" priority="8210" stopIfTrue="1">
      <formula>OR($O$2908="F/S",$O$2908="")</formula>
    </cfRule>
    <cfRule type="cellIs" dxfId="2379" priority="8211" stopIfTrue="1" operator="notEqual">
      <formula>0</formula>
    </cfRule>
  </conditionalFormatting>
  <conditionalFormatting sqref="L2920">
    <cfRule type="expression" dxfId="2378" priority="8212" stopIfTrue="1">
      <formula>OR($L$2920="F/S",$L$2920="")</formula>
    </cfRule>
    <cfRule type="cellIs" dxfId="2377" priority="8213" stopIfTrue="1" operator="notEqual">
      <formula>0</formula>
    </cfRule>
  </conditionalFormatting>
  <conditionalFormatting sqref="O2920">
    <cfRule type="expression" dxfId="2376" priority="8214" stopIfTrue="1">
      <formula>OR($O$2920="F/S",$O$2920="")</formula>
    </cfRule>
    <cfRule type="cellIs" dxfId="2375" priority="8215" stopIfTrue="1" operator="notEqual">
      <formula>0</formula>
    </cfRule>
  </conditionalFormatting>
  <conditionalFormatting sqref="L2982">
    <cfRule type="expression" dxfId="2374" priority="8228" stopIfTrue="1">
      <formula>OR($L$2982="F/S",$L$2982="")</formula>
    </cfRule>
    <cfRule type="cellIs" dxfId="2373" priority="8229" stopIfTrue="1" operator="notEqual">
      <formula>0</formula>
    </cfRule>
  </conditionalFormatting>
  <conditionalFormatting sqref="O2982">
    <cfRule type="expression" dxfId="2372" priority="8230" stopIfTrue="1">
      <formula>OR($O$2982="F/S",$O$2982="")</formula>
    </cfRule>
    <cfRule type="cellIs" dxfId="2371" priority="8231" stopIfTrue="1" operator="notEqual">
      <formula>0</formula>
    </cfRule>
  </conditionalFormatting>
  <conditionalFormatting sqref="L3006">
    <cfRule type="expression" dxfId="2370" priority="8236" stopIfTrue="1">
      <formula>OR($L$3006="F/S",$L$3006="")</formula>
    </cfRule>
    <cfRule type="cellIs" dxfId="2369" priority="8237" stopIfTrue="1" operator="notEqual">
      <formula>0</formula>
    </cfRule>
  </conditionalFormatting>
  <conditionalFormatting sqref="O3006">
    <cfRule type="expression" dxfId="2368" priority="8238" stopIfTrue="1">
      <formula>OR($O$3006="F/S",$O$3006="")</formula>
    </cfRule>
    <cfRule type="cellIs" dxfId="2367" priority="8239" stopIfTrue="1" operator="notEqual">
      <formula>0</formula>
    </cfRule>
  </conditionalFormatting>
  <conditionalFormatting sqref="L3043">
    <cfRule type="expression" dxfId="2366" priority="8244" stopIfTrue="1">
      <formula>OR($L$3043="F/S",$L$3043="")</formula>
    </cfRule>
    <cfRule type="cellIs" dxfId="2365" priority="8245" stopIfTrue="1" operator="notEqual">
      <formula>0</formula>
    </cfRule>
  </conditionalFormatting>
  <conditionalFormatting sqref="O3043">
    <cfRule type="expression" dxfId="2364" priority="8246" stopIfTrue="1">
      <formula>OR($O$3043="F/S",$O$3043="")</formula>
    </cfRule>
    <cfRule type="cellIs" dxfId="2363" priority="8247" stopIfTrue="1" operator="notEqual">
      <formula>0</formula>
    </cfRule>
  </conditionalFormatting>
  <conditionalFormatting sqref="L3113">
    <cfRule type="expression" dxfId="2362" priority="8260" stopIfTrue="1">
      <formula>OR($L$3113="F/S",$L$3113="")</formula>
    </cfRule>
    <cfRule type="cellIs" dxfId="2361" priority="8261" stopIfTrue="1" operator="notEqual">
      <formula>0</formula>
    </cfRule>
  </conditionalFormatting>
  <conditionalFormatting sqref="O3113">
    <cfRule type="expression" dxfId="2360" priority="8262" stopIfTrue="1">
      <formula>OR($O$3113="F/S",$O$3113="")</formula>
    </cfRule>
    <cfRule type="cellIs" dxfId="2359" priority="8263" stopIfTrue="1" operator="notEqual">
      <formula>0</formula>
    </cfRule>
  </conditionalFormatting>
  <conditionalFormatting sqref="L3126">
    <cfRule type="expression" dxfId="2358" priority="8264" stopIfTrue="1">
      <formula>OR($L$3126="F/S",$L$3126="")</formula>
    </cfRule>
    <cfRule type="cellIs" dxfId="2357" priority="8265" stopIfTrue="1" operator="notEqual">
      <formula>0</formula>
    </cfRule>
  </conditionalFormatting>
  <conditionalFormatting sqref="O3126">
    <cfRule type="expression" dxfId="2356" priority="8266" stopIfTrue="1">
      <formula>OR($O$3126="F/S",$O$3126="")</formula>
    </cfRule>
    <cfRule type="cellIs" dxfId="2355" priority="8267" stopIfTrue="1" operator="notEqual">
      <formula>0</formula>
    </cfRule>
  </conditionalFormatting>
  <conditionalFormatting sqref="L3162">
    <cfRule type="expression" dxfId="2354" priority="8268" stopIfTrue="1">
      <formula>OR($L$3162="F/S",$L$3162="")</formula>
    </cfRule>
    <cfRule type="cellIs" dxfId="2353" priority="8269" stopIfTrue="1" operator="notEqual">
      <formula>0</formula>
    </cfRule>
  </conditionalFormatting>
  <conditionalFormatting sqref="O3162">
    <cfRule type="expression" dxfId="2352" priority="8270" stopIfTrue="1">
      <formula>OR($O$3162="F/S",$O$3162="")</formula>
    </cfRule>
    <cfRule type="cellIs" dxfId="2351" priority="8271" stopIfTrue="1" operator="notEqual">
      <formula>0</formula>
    </cfRule>
  </conditionalFormatting>
  <conditionalFormatting sqref="L3175">
    <cfRule type="expression" dxfId="2350" priority="8280" stopIfTrue="1">
      <formula>OR($L$3175="F/S",$L$3175="")</formula>
    </cfRule>
    <cfRule type="cellIs" dxfId="2349" priority="8281" stopIfTrue="1" operator="notEqual">
      <formula>0</formula>
    </cfRule>
  </conditionalFormatting>
  <conditionalFormatting sqref="O3175">
    <cfRule type="expression" dxfId="2348" priority="8282" stopIfTrue="1">
      <formula>OR($O$3175="F/S",$O$3175="")</formula>
    </cfRule>
    <cfRule type="cellIs" dxfId="2347" priority="8283" stopIfTrue="1" operator="notEqual">
      <formula>0</formula>
    </cfRule>
  </conditionalFormatting>
  <conditionalFormatting sqref="L3188">
    <cfRule type="expression" dxfId="2346" priority="8284" stopIfTrue="1">
      <formula>OR($L$3188="F/S",$L$3188="")</formula>
    </cfRule>
    <cfRule type="cellIs" dxfId="2345" priority="8285" stopIfTrue="1" operator="notEqual">
      <formula>0</formula>
    </cfRule>
  </conditionalFormatting>
  <conditionalFormatting sqref="O3188">
    <cfRule type="expression" dxfId="2344" priority="8286" stopIfTrue="1">
      <formula>OR($O$3188="F/S",$O$3188="")</formula>
    </cfRule>
    <cfRule type="cellIs" dxfId="2343" priority="8287" stopIfTrue="1" operator="notEqual">
      <formula>0</formula>
    </cfRule>
  </conditionalFormatting>
  <conditionalFormatting sqref="L3200">
    <cfRule type="expression" dxfId="2342" priority="8288" stopIfTrue="1">
      <formula>OR($L$3200="F/S",$L$3200="")</formula>
    </cfRule>
    <cfRule type="cellIs" dxfId="2341" priority="8289" stopIfTrue="1" operator="notEqual">
      <formula>0</formula>
    </cfRule>
  </conditionalFormatting>
  <conditionalFormatting sqref="O3200">
    <cfRule type="expression" dxfId="2340" priority="8290" stopIfTrue="1">
      <formula>OR($O$3200="F/S",$O$3200="")</formula>
    </cfRule>
    <cfRule type="cellIs" dxfId="2339" priority="8291" stopIfTrue="1" operator="notEqual">
      <formula>0</formula>
    </cfRule>
  </conditionalFormatting>
  <conditionalFormatting sqref="L3213">
    <cfRule type="expression" dxfId="2338" priority="8292" stopIfTrue="1">
      <formula>OR($L$3213="F/S",$L$3213="")</formula>
    </cfRule>
    <cfRule type="cellIs" dxfId="2337" priority="8293" stopIfTrue="1" operator="notEqual">
      <formula>0</formula>
    </cfRule>
  </conditionalFormatting>
  <conditionalFormatting sqref="O3213">
    <cfRule type="expression" dxfId="2336" priority="8294" stopIfTrue="1">
      <formula>OR($O$3213="F/S",$O$3213="")</formula>
    </cfRule>
    <cfRule type="cellIs" dxfId="2335" priority="8295" stopIfTrue="1" operator="notEqual">
      <formula>0</formula>
    </cfRule>
  </conditionalFormatting>
  <conditionalFormatting sqref="L3225">
    <cfRule type="expression" dxfId="2334" priority="8296" stopIfTrue="1">
      <formula>OR($L$3225="F/S",$L$3225="")</formula>
    </cfRule>
    <cfRule type="cellIs" dxfId="2333" priority="8297" stopIfTrue="1" operator="notEqual">
      <formula>0</formula>
    </cfRule>
  </conditionalFormatting>
  <conditionalFormatting sqref="O3225">
    <cfRule type="expression" dxfId="2332" priority="8298" stopIfTrue="1">
      <formula>OR($O$3225="F/S",$O$3225="")</formula>
    </cfRule>
    <cfRule type="cellIs" dxfId="2331" priority="8299" stopIfTrue="1" operator="notEqual">
      <formula>0</formula>
    </cfRule>
  </conditionalFormatting>
  <conditionalFormatting sqref="L3240">
    <cfRule type="expression" dxfId="2330" priority="8300" stopIfTrue="1">
      <formula>OR($L$3240="F/S",$L$3240="")</formula>
    </cfRule>
    <cfRule type="cellIs" dxfId="2329" priority="8301" stopIfTrue="1" operator="notEqual">
      <formula>0</formula>
    </cfRule>
  </conditionalFormatting>
  <conditionalFormatting sqref="O3240">
    <cfRule type="expression" dxfId="2328" priority="8302" stopIfTrue="1">
      <formula>OR($O$3240="F/S",$O$3240="")</formula>
    </cfRule>
    <cfRule type="cellIs" dxfId="2327" priority="8303" stopIfTrue="1" operator="notEqual">
      <formula>0</formula>
    </cfRule>
  </conditionalFormatting>
  <conditionalFormatting sqref="L3256">
    <cfRule type="expression" dxfId="2326" priority="8304" stopIfTrue="1">
      <formula>OR($L$3256="F/S",$L$3256="")</formula>
    </cfRule>
    <cfRule type="cellIs" dxfId="2325" priority="8305" stopIfTrue="1" operator="notEqual">
      <formula>0</formula>
    </cfRule>
  </conditionalFormatting>
  <conditionalFormatting sqref="O3256">
    <cfRule type="expression" dxfId="2324" priority="8306" stopIfTrue="1">
      <formula>OR($O$3256="F/S",$O$3256="")</formula>
    </cfRule>
    <cfRule type="cellIs" dxfId="2323" priority="8307" stopIfTrue="1" operator="notEqual">
      <formula>0</formula>
    </cfRule>
  </conditionalFormatting>
  <conditionalFormatting sqref="L3269">
    <cfRule type="expression" dxfId="2322" priority="8308" stopIfTrue="1">
      <formula>OR($L$3269="F/S",$L$3269="")</formula>
    </cfRule>
    <cfRule type="cellIs" dxfId="2321" priority="8309" stopIfTrue="1" operator="notEqual">
      <formula>0</formula>
    </cfRule>
  </conditionalFormatting>
  <conditionalFormatting sqref="O3269">
    <cfRule type="expression" dxfId="2320" priority="8310" stopIfTrue="1">
      <formula>OR($O$3269="F/S",$O$3269="")</formula>
    </cfRule>
    <cfRule type="cellIs" dxfId="2319" priority="8311" stopIfTrue="1" operator="notEqual">
      <formula>0</formula>
    </cfRule>
  </conditionalFormatting>
  <conditionalFormatting sqref="L3276">
    <cfRule type="expression" dxfId="2318" priority="8312" stopIfTrue="1">
      <formula>OR($L$3276="F/S",$L$3276="")</formula>
    </cfRule>
    <cfRule type="cellIs" dxfId="2317" priority="8313" stopIfTrue="1" operator="notEqual">
      <formula>0</formula>
    </cfRule>
  </conditionalFormatting>
  <conditionalFormatting sqref="O3276">
    <cfRule type="expression" dxfId="2316" priority="8314" stopIfTrue="1">
      <formula>OR($O$3276="F/S",$O$3276="")</formula>
    </cfRule>
    <cfRule type="cellIs" dxfId="2315" priority="8315" stopIfTrue="1" operator="notEqual">
      <formula>0</formula>
    </cfRule>
  </conditionalFormatting>
  <conditionalFormatting sqref="L3286">
    <cfRule type="expression" dxfId="2314" priority="8316" stopIfTrue="1">
      <formula>OR($L$3286="F/S",$L$3286="")</formula>
    </cfRule>
    <cfRule type="cellIs" dxfId="2313" priority="8317" stopIfTrue="1" operator="notEqual">
      <formula>0</formula>
    </cfRule>
  </conditionalFormatting>
  <conditionalFormatting sqref="O3286">
    <cfRule type="expression" dxfId="2312" priority="8318" stopIfTrue="1">
      <formula>OR($O$3286="F/S",$O$3286="")</formula>
    </cfRule>
    <cfRule type="cellIs" dxfId="2311" priority="8319" stopIfTrue="1" operator="notEqual">
      <formula>0</formula>
    </cfRule>
  </conditionalFormatting>
  <conditionalFormatting sqref="L3306">
    <cfRule type="expression" dxfId="2310" priority="8320" stopIfTrue="1">
      <formula>OR($L$3306="F/S",$L$3306="")</formula>
    </cfRule>
    <cfRule type="cellIs" dxfId="2309" priority="8321" stopIfTrue="1" operator="notEqual">
      <formula>0</formula>
    </cfRule>
  </conditionalFormatting>
  <conditionalFormatting sqref="O3306">
    <cfRule type="expression" dxfId="2308" priority="8322" stopIfTrue="1">
      <formula>OR($O$3306="F/S",$O$3306="")</formula>
    </cfRule>
    <cfRule type="cellIs" dxfId="2307" priority="8323" stopIfTrue="1" operator="notEqual">
      <formula>0</formula>
    </cfRule>
  </conditionalFormatting>
  <conditionalFormatting sqref="L5210">
    <cfRule type="expression" dxfId="2306" priority="8324" stopIfTrue="1">
      <formula>OR($L$5210="F/S",$L$5210="")</formula>
    </cfRule>
    <cfRule type="cellIs" dxfId="2305" priority="8325" stopIfTrue="1" operator="notEqual">
      <formula>0</formula>
    </cfRule>
  </conditionalFormatting>
  <conditionalFormatting sqref="O5210">
    <cfRule type="expression" dxfId="2304" priority="8326" stopIfTrue="1">
      <formula>OR($O$5210="F/S",$O$5210="")</formula>
    </cfRule>
    <cfRule type="cellIs" dxfId="2303" priority="8327" stopIfTrue="1" operator="notEqual">
      <formula>0</formula>
    </cfRule>
  </conditionalFormatting>
  <conditionalFormatting sqref="L5196">
    <cfRule type="expression" dxfId="2302" priority="8328" stopIfTrue="1">
      <formula>OR($L$5196="F/S",$L$5196="")</formula>
    </cfRule>
    <cfRule type="cellIs" dxfId="2301" priority="8329" stopIfTrue="1" operator="notEqual">
      <formula>0</formula>
    </cfRule>
  </conditionalFormatting>
  <conditionalFormatting sqref="O5196">
    <cfRule type="expression" dxfId="2300" priority="8330" stopIfTrue="1">
      <formula>OR($O$5196="F/S",$O$5196="")</formula>
    </cfRule>
    <cfRule type="cellIs" dxfId="2299" priority="8331" stopIfTrue="1" operator="notEqual">
      <formula>0</formula>
    </cfRule>
  </conditionalFormatting>
  <conditionalFormatting sqref="L3319">
    <cfRule type="expression" dxfId="2298" priority="8332" stopIfTrue="1">
      <formula>OR($L$3319="F/S",$L$3319="")</formula>
    </cfRule>
    <cfRule type="cellIs" dxfId="2297" priority="8333" stopIfTrue="1" operator="notEqual">
      <formula>0</formula>
    </cfRule>
  </conditionalFormatting>
  <conditionalFormatting sqref="O3319">
    <cfRule type="expression" dxfId="2296" priority="8334" stopIfTrue="1">
      <formula>OR($O$3319="F/S",$O$3319="")</formula>
    </cfRule>
    <cfRule type="cellIs" dxfId="2295" priority="8335" stopIfTrue="1" operator="notEqual">
      <formula>0</formula>
    </cfRule>
  </conditionalFormatting>
  <conditionalFormatting sqref="L3359">
    <cfRule type="expression" dxfId="2294" priority="8336" stopIfTrue="1">
      <formula>OR($L$3359="F/S",$L$3359="")</formula>
    </cfRule>
    <cfRule type="cellIs" dxfId="2293" priority="8337" stopIfTrue="1" operator="notEqual">
      <formula>0</formula>
    </cfRule>
  </conditionalFormatting>
  <conditionalFormatting sqref="O3359">
    <cfRule type="expression" dxfId="2292" priority="8338" stopIfTrue="1">
      <formula>OR($O$3359="F/S",$O$3359="")</formula>
    </cfRule>
    <cfRule type="cellIs" dxfId="2291" priority="8339" stopIfTrue="1" operator="notEqual">
      <formula>0</formula>
    </cfRule>
  </conditionalFormatting>
  <conditionalFormatting sqref="L3329">
    <cfRule type="expression" dxfId="2290" priority="8340" stopIfTrue="1">
      <formula>OR($L$3329="F/S",$L$3329="")</formula>
    </cfRule>
    <cfRule type="cellIs" dxfId="2289" priority="8341" stopIfTrue="1" operator="notEqual">
      <formula>0</formula>
    </cfRule>
  </conditionalFormatting>
  <conditionalFormatting sqref="O3329">
    <cfRule type="expression" dxfId="2288" priority="8342" stopIfTrue="1">
      <formula>OR($O$3329="F/S",$O$3329="")</formula>
    </cfRule>
    <cfRule type="cellIs" dxfId="2287" priority="8343" stopIfTrue="1" operator="notEqual">
      <formula>0</formula>
    </cfRule>
  </conditionalFormatting>
  <conditionalFormatting sqref="L3339">
    <cfRule type="expression" dxfId="2286" priority="8344" stopIfTrue="1">
      <formula>OR($L$3339="F/S",$L$3339="")</formula>
    </cfRule>
    <cfRule type="cellIs" dxfId="2285" priority="8345" stopIfTrue="1" operator="notEqual">
      <formula>0</formula>
    </cfRule>
  </conditionalFormatting>
  <conditionalFormatting sqref="O3339">
    <cfRule type="expression" dxfId="2284" priority="8346" stopIfTrue="1">
      <formula>OR($O$3339="F/S",$O$3339="")</formula>
    </cfRule>
    <cfRule type="cellIs" dxfId="2283" priority="8347" stopIfTrue="1" operator="notEqual">
      <formula>0</formula>
    </cfRule>
  </conditionalFormatting>
  <conditionalFormatting sqref="L3349">
    <cfRule type="expression" dxfId="2282" priority="8348" stopIfTrue="1">
      <formula>OR($L$3349="F/S",$L$3349="")</formula>
    </cfRule>
    <cfRule type="cellIs" dxfId="2281" priority="8349" stopIfTrue="1" operator="notEqual">
      <formula>0</formula>
    </cfRule>
  </conditionalFormatting>
  <conditionalFormatting sqref="O3349">
    <cfRule type="expression" dxfId="2280" priority="8350" stopIfTrue="1">
      <formula>OR($O$3349="F/S",$O$3349="")</formula>
    </cfRule>
    <cfRule type="cellIs" dxfId="2279" priority="8351" stopIfTrue="1" operator="notEqual">
      <formula>0</formula>
    </cfRule>
  </conditionalFormatting>
  <conditionalFormatting sqref="L3370">
    <cfRule type="expression" dxfId="2278" priority="8352" stopIfTrue="1">
      <formula>OR($L$3370="F/S",$L$3370="")</formula>
    </cfRule>
    <cfRule type="cellIs" dxfId="2277" priority="8353" stopIfTrue="1" operator="notEqual">
      <formula>0</formula>
    </cfRule>
  </conditionalFormatting>
  <conditionalFormatting sqref="O3370">
    <cfRule type="expression" dxfId="2276" priority="8354" stopIfTrue="1">
      <formula>OR($O$3370="F/S",$O$3370="")</formula>
    </cfRule>
    <cfRule type="cellIs" dxfId="2275" priority="8355" stopIfTrue="1" operator="notEqual">
      <formula>0</formula>
    </cfRule>
  </conditionalFormatting>
  <conditionalFormatting sqref="L3409">
    <cfRule type="expression" dxfId="2274" priority="8356" stopIfTrue="1">
      <formula>OR($L$3409="F/S",$L$3409="")</formula>
    </cfRule>
    <cfRule type="cellIs" dxfId="2273" priority="8357" stopIfTrue="1" operator="notEqual">
      <formula>0</formula>
    </cfRule>
  </conditionalFormatting>
  <conditionalFormatting sqref="O3409">
    <cfRule type="expression" dxfId="2272" priority="8358" stopIfTrue="1">
      <formula>OR($O$3409="F/S",$O$3409="")</formula>
    </cfRule>
    <cfRule type="cellIs" dxfId="2271" priority="8359" stopIfTrue="1" operator="notEqual">
      <formula>0</formula>
    </cfRule>
  </conditionalFormatting>
  <conditionalFormatting sqref="L3381">
    <cfRule type="expression" dxfId="2270" priority="8360" stopIfTrue="1">
      <formula>OR($L$3381="F/S",$L$3381="")</formula>
    </cfRule>
    <cfRule type="cellIs" dxfId="2269" priority="8361" stopIfTrue="1" operator="notEqual">
      <formula>0</formula>
    </cfRule>
  </conditionalFormatting>
  <conditionalFormatting sqref="O3381">
    <cfRule type="expression" dxfId="2268" priority="8362" stopIfTrue="1">
      <formula>OR($O$3381="F/S",$O$3381="")</formula>
    </cfRule>
    <cfRule type="cellIs" dxfId="2267" priority="8363" stopIfTrue="1" operator="notEqual">
      <formula>0</formula>
    </cfRule>
  </conditionalFormatting>
  <conditionalFormatting sqref="L3394">
    <cfRule type="expression" dxfId="2266" priority="8364" stopIfTrue="1">
      <formula>OR($L$3394="F/S",$L$3394="")</formula>
    </cfRule>
    <cfRule type="cellIs" dxfId="2265" priority="8365" stopIfTrue="1" operator="notEqual">
      <formula>0</formula>
    </cfRule>
  </conditionalFormatting>
  <conditionalFormatting sqref="O3394">
    <cfRule type="expression" dxfId="2264" priority="8366" stopIfTrue="1">
      <formula>OR($O$3394="F/S",$O$3394="")</formula>
    </cfRule>
    <cfRule type="cellIs" dxfId="2263" priority="8367" stopIfTrue="1" operator="notEqual">
      <formula>0</formula>
    </cfRule>
  </conditionalFormatting>
  <conditionalFormatting sqref="L3421">
    <cfRule type="expression" dxfId="2262" priority="8368" stopIfTrue="1">
      <formula>OR($L$3421="F/S",$L$3421="")</formula>
    </cfRule>
    <cfRule type="cellIs" dxfId="2261" priority="8369" stopIfTrue="1" operator="notEqual">
      <formula>0</formula>
    </cfRule>
  </conditionalFormatting>
  <conditionalFormatting sqref="O3421">
    <cfRule type="expression" dxfId="2260" priority="8370" stopIfTrue="1">
      <formula>OR($O$3421="F/S",$O$3421="")</formula>
    </cfRule>
    <cfRule type="cellIs" dxfId="2259" priority="8371" stopIfTrue="1" operator="notEqual">
      <formula>0</formula>
    </cfRule>
  </conditionalFormatting>
  <conditionalFormatting sqref="L3432">
    <cfRule type="expression" dxfId="2258" priority="8372" stopIfTrue="1">
      <formula>OR($L$3432="F/S",$L$3432="")</formula>
    </cfRule>
    <cfRule type="cellIs" dxfId="2257" priority="8373" stopIfTrue="1" operator="notEqual">
      <formula>0</formula>
    </cfRule>
  </conditionalFormatting>
  <conditionalFormatting sqref="O3432">
    <cfRule type="expression" dxfId="2256" priority="8374" stopIfTrue="1">
      <formula>OR($O$3432="F/S",$O$3432="")</formula>
    </cfRule>
    <cfRule type="cellIs" dxfId="2255" priority="8375" stopIfTrue="1" operator="notEqual">
      <formula>0</formula>
    </cfRule>
  </conditionalFormatting>
  <conditionalFormatting sqref="L3443">
    <cfRule type="expression" dxfId="2254" priority="8376" stopIfTrue="1">
      <formula>OR($L$3443="F/S",$L$3443="")</formula>
    </cfRule>
    <cfRule type="cellIs" dxfId="2253" priority="8377" stopIfTrue="1" operator="notEqual">
      <formula>0</formula>
    </cfRule>
  </conditionalFormatting>
  <conditionalFormatting sqref="O3443">
    <cfRule type="expression" dxfId="2252" priority="8378" stopIfTrue="1">
      <formula>OR($O$3443="F/S",$O$3443="")</formula>
    </cfRule>
    <cfRule type="cellIs" dxfId="2251" priority="8379" stopIfTrue="1" operator="notEqual">
      <formula>0</formula>
    </cfRule>
  </conditionalFormatting>
  <conditionalFormatting sqref="L3471">
    <cfRule type="expression" dxfId="2250" priority="8380" stopIfTrue="1">
      <formula>OR($L$3471="F/S",$L$3471="")</formula>
    </cfRule>
    <cfRule type="cellIs" dxfId="2249" priority="8381" stopIfTrue="1" operator="notEqual">
      <formula>0</formula>
    </cfRule>
  </conditionalFormatting>
  <conditionalFormatting sqref="O3471">
    <cfRule type="expression" dxfId="2248" priority="8382" stopIfTrue="1">
      <formula>OR($O$3471="F/S",$O$3471="")</formula>
    </cfRule>
    <cfRule type="cellIs" dxfId="2247" priority="8383" stopIfTrue="1" operator="notEqual">
      <formula>0</formula>
    </cfRule>
  </conditionalFormatting>
  <conditionalFormatting sqref="L3454">
    <cfRule type="expression" dxfId="2246" priority="8384" stopIfTrue="1">
      <formula>OR($L$3454="F/S",$L$3454="")</formula>
    </cfRule>
    <cfRule type="cellIs" dxfId="2245" priority="8385" stopIfTrue="1" operator="notEqual">
      <formula>0</formula>
    </cfRule>
  </conditionalFormatting>
  <conditionalFormatting sqref="O3454">
    <cfRule type="expression" dxfId="2244" priority="8386" stopIfTrue="1">
      <formula>OR($O$3454="F/S",$O$3454="")</formula>
    </cfRule>
    <cfRule type="cellIs" dxfId="2243" priority="8387" stopIfTrue="1" operator="notEqual">
      <formula>0</formula>
    </cfRule>
  </conditionalFormatting>
  <conditionalFormatting sqref="L3491">
    <cfRule type="expression" dxfId="2242" priority="8388" stopIfTrue="1">
      <formula>OR($L$3491="F/S",$L$3491="")</formula>
    </cfRule>
    <cfRule type="cellIs" dxfId="2241" priority="8389" stopIfTrue="1" operator="notEqual">
      <formula>0</formula>
    </cfRule>
  </conditionalFormatting>
  <conditionalFormatting sqref="O3491">
    <cfRule type="expression" dxfId="2240" priority="8390" stopIfTrue="1">
      <formula>OR($O$3491="F/S",$O$3491="")</formula>
    </cfRule>
    <cfRule type="cellIs" dxfId="2239" priority="8391" stopIfTrue="1" operator="notEqual">
      <formula>0</formula>
    </cfRule>
  </conditionalFormatting>
  <conditionalFormatting sqref="L3481">
    <cfRule type="expression" dxfId="2238" priority="8392" stopIfTrue="1">
      <formula>OR($L$3481="F/S",$L$3481="")</formula>
    </cfRule>
    <cfRule type="cellIs" dxfId="2237" priority="8393" stopIfTrue="1" operator="notEqual">
      <formula>0</formula>
    </cfRule>
  </conditionalFormatting>
  <conditionalFormatting sqref="O3481">
    <cfRule type="expression" dxfId="2236" priority="8394" stopIfTrue="1">
      <formula>OR($O$3481="F/S",$O$3481="")</formula>
    </cfRule>
    <cfRule type="cellIs" dxfId="2235" priority="8395" stopIfTrue="1" operator="notEqual">
      <formula>0</formula>
    </cfRule>
  </conditionalFormatting>
  <conditionalFormatting sqref="L3501">
    <cfRule type="expression" dxfId="2234" priority="8396" stopIfTrue="1">
      <formula>OR($L$3501="F/S",$L$3501="")</formula>
    </cfRule>
    <cfRule type="cellIs" dxfId="2233" priority="8397" stopIfTrue="1" operator="notEqual">
      <formula>0</formula>
    </cfRule>
  </conditionalFormatting>
  <conditionalFormatting sqref="O3501">
    <cfRule type="expression" dxfId="2232" priority="8398" stopIfTrue="1">
      <formula>OR($O$3501="F/S",$O$3501="")</formula>
    </cfRule>
    <cfRule type="cellIs" dxfId="2231" priority="8399" stopIfTrue="1" operator="notEqual">
      <formula>0</formula>
    </cfRule>
  </conditionalFormatting>
  <conditionalFormatting sqref="L3511">
    <cfRule type="expression" dxfId="2230" priority="8400" stopIfTrue="1">
      <formula>OR($L$3511="F/S",$L$3511="")</formula>
    </cfRule>
    <cfRule type="cellIs" dxfId="2229" priority="8401" stopIfTrue="1" operator="notEqual">
      <formula>0</formula>
    </cfRule>
  </conditionalFormatting>
  <conditionalFormatting sqref="O3511">
    <cfRule type="expression" dxfId="2228" priority="8402" stopIfTrue="1">
      <formula>OR($O$3511="F/S",$O$3511="")</formula>
    </cfRule>
    <cfRule type="cellIs" dxfId="2227" priority="8403" stopIfTrue="1" operator="notEqual">
      <formula>0</formula>
    </cfRule>
  </conditionalFormatting>
  <conditionalFormatting sqref="L3531">
    <cfRule type="expression" dxfId="2226" priority="8408" stopIfTrue="1">
      <formula>OR($L$3531="F/S",$L$3531="")</formula>
    </cfRule>
    <cfRule type="cellIs" dxfId="2225" priority="8409" stopIfTrue="1" operator="notEqual">
      <formula>0</formula>
    </cfRule>
  </conditionalFormatting>
  <conditionalFormatting sqref="O3531">
    <cfRule type="expression" dxfId="2224" priority="8410" stopIfTrue="1">
      <formula>OR($O$3531="F/S",$O$3531="")</formula>
    </cfRule>
    <cfRule type="cellIs" dxfId="2223" priority="8411" stopIfTrue="1" operator="notEqual">
      <formula>0</formula>
    </cfRule>
  </conditionalFormatting>
  <conditionalFormatting sqref="L3558">
    <cfRule type="expression" dxfId="2222" priority="8412" stopIfTrue="1">
      <formula>OR($L$3558="F/S",$L$3558="")</formula>
    </cfRule>
    <cfRule type="cellIs" dxfId="2221" priority="8413" stopIfTrue="1" operator="notEqual">
      <formula>0</formula>
    </cfRule>
  </conditionalFormatting>
  <conditionalFormatting sqref="O3558">
    <cfRule type="expression" dxfId="2220" priority="8414" stopIfTrue="1">
      <formula>OR($O$3558="F/S",$O$3558="")</formula>
    </cfRule>
    <cfRule type="cellIs" dxfId="2219" priority="8415" stopIfTrue="1" operator="notEqual">
      <formula>0</formula>
    </cfRule>
  </conditionalFormatting>
  <conditionalFormatting sqref="L3568">
    <cfRule type="expression" dxfId="2218" priority="8416" stopIfTrue="1">
      <formula>OR($L$3568="F/S",$L$3568="")</formula>
    </cfRule>
    <cfRule type="cellIs" dxfId="2217" priority="8417" stopIfTrue="1" operator="notEqual">
      <formula>0</formula>
    </cfRule>
  </conditionalFormatting>
  <conditionalFormatting sqref="O3568">
    <cfRule type="expression" dxfId="2216" priority="8418" stopIfTrue="1">
      <formula>OR($O$3568="F/S",$O$3568="")</formula>
    </cfRule>
    <cfRule type="cellIs" dxfId="2215" priority="8419" stopIfTrue="1" operator="notEqual">
      <formula>0</formula>
    </cfRule>
  </conditionalFormatting>
  <conditionalFormatting sqref="L3588">
    <cfRule type="expression" dxfId="2214" priority="8420" stopIfTrue="1">
      <formula>OR($L$3588="F/S",$L$3588="")</formula>
    </cfRule>
    <cfRule type="cellIs" dxfId="2213" priority="8421" stopIfTrue="1" operator="notEqual">
      <formula>0</formula>
    </cfRule>
  </conditionalFormatting>
  <conditionalFormatting sqref="O3588">
    <cfRule type="expression" dxfId="2212" priority="8422" stopIfTrue="1">
      <formula>OR($O$3588="F/S",$O$3588="")</formula>
    </cfRule>
    <cfRule type="cellIs" dxfId="2211" priority="8423" stopIfTrue="1" operator="notEqual">
      <formula>0</formula>
    </cfRule>
  </conditionalFormatting>
  <conditionalFormatting sqref="L3578">
    <cfRule type="expression" dxfId="2210" priority="8428" stopIfTrue="1">
      <formula>OR($L$3578="F/S",$L$3578="")</formula>
    </cfRule>
    <cfRule type="cellIs" dxfId="2209" priority="8429" stopIfTrue="1" operator="notEqual">
      <formula>0</formula>
    </cfRule>
  </conditionalFormatting>
  <conditionalFormatting sqref="O3578">
    <cfRule type="expression" dxfId="2208" priority="8430" stopIfTrue="1">
      <formula>OR($O$3578="F/S",$O$3578="")</formula>
    </cfRule>
    <cfRule type="cellIs" dxfId="2207" priority="8431" stopIfTrue="1" operator="notEqual">
      <formula>0</formula>
    </cfRule>
  </conditionalFormatting>
  <conditionalFormatting sqref="L3541">
    <cfRule type="expression" dxfId="2206" priority="8432" stopIfTrue="1">
      <formula>OR($L$3541="F/S",$L$3541="")</formula>
    </cfRule>
    <cfRule type="cellIs" dxfId="2205" priority="8433" stopIfTrue="1" operator="notEqual">
      <formula>0</formula>
    </cfRule>
  </conditionalFormatting>
  <conditionalFormatting sqref="O3541">
    <cfRule type="expression" dxfId="2204" priority="8434" stopIfTrue="1">
      <formula>OR($O$3541="F/S",$O$3541="")</formula>
    </cfRule>
    <cfRule type="cellIs" dxfId="2203" priority="8435" stopIfTrue="1" operator="notEqual">
      <formula>0</formula>
    </cfRule>
  </conditionalFormatting>
  <conditionalFormatting sqref="L3598">
    <cfRule type="expression" dxfId="2202" priority="8436" stopIfTrue="1">
      <formula>OR($L$3598="F/S",$L$3598="")</formula>
    </cfRule>
    <cfRule type="cellIs" dxfId="2201" priority="8437" stopIfTrue="1" operator="notEqual">
      <formula>0</formula>
    </cfRule>
  </conditionalFormatting>
  <conditionalFormatting sqref="O3598">
    <cfRule type="expression" dxfId="2200" priority="8438" stopIfTrue="1">
      <formula>OR($O$3598="F/S",$O$3598="")</formula>
    </cfRule>
    <cfRule type="cellIs" dxfId="2199" priority="8439" stopIfTrue="1" operator="notEqual">
      <formula>0</formula>
    </cfRule>
  </conditionalFormatting>
  <conditionalFormatting sqref="L3618">
    <cfRule type="expression" dxfId="2198" priority="8440" stopIfTrue="1">
      <formula>OR($L$3618="F/S",$L$3618="")</formula>
    </cfRule>
    <cfRule type="cellIs" dxfId="2197" priority="8441" stopIfTrue="1" operator="notEqual">
      <formula>0</formula>
    </cfRule>
  </conditionalFormatting>
  <conditionalFormatting sqref="O3618">
    <cfRule type="expression" dxfId="2196" priority="8442" stopIfTrue="1">
      <formula>OR($O$3618="F/S",$O$3618="")</formula>
    </cfRule>
    <cfRule type="cellIs" dxfId="2195" priority="8443" stopIfTrue="1" operator="notEqual">
      <formula>0</formula>
    </cfRule>
  </conditionalFormatting>
  <conditionalFormatting sqref="L3628">
    <cfRule type="expression" dxfId="2194" priority="8444" stopIfTrue="1">
      <formula>OR($L$3628="F/S",$L$3628="")</formula>
    </cfRule>
    <cfRule type="cellIs" dxfId="2193" priority="8445" stopIfTrue="1" operator="notEqual">
      <formula>0</formula>
    </cfRule>
  </conditionalFormatting>
  <conditionalFormatting sqref="O3628">
    <cfRule type="expression" dxfId="2192" priority="8446" stopIfTrue="1">
      <formula>OR($O$3628="F/S",$O$3628="")</formula>
    </cfRule>
    <cfRule type="cellIs" dxfId="2191" priority="8447" stopIfTrue="1" operator="notEqual">
      <formula>0</formula>
    </cfRule>
  </conditionalFormatting>
  <conditionalFormatting sqref="L3657">
    <cfRule type="expression" dxfId="2190" priority="8448" stopIfTrue="1">
      <formula>OR($L$3657="F/S",$L$3657="")</formula>
    </cfRule>
    <cfRule type="cellIs" dxfId="2189" priority="8449" stopIfTrue="1" operator="notEqual">
      <formula>0</formula>
    </cfRule>
  </conditionalFormatting>
  <conditionalFormatting sqref="O3657">
    <cfRule type="expression" dxfId="2188" priority="8450" stopIfTrue="1">
      <formula>OR($O$3657="F/S",$O$3657="")</formula>
    </cfRule>
    <cfRule type="cellIs" dxfId="2187" priority="8451" stopIfTrue="1" operator="notEqual">
      <formula>0</formula>
    </cfRule>
  </conditionalFormatting>
  <conditionalFormatting sqref="L3681">
    <cfRule type="expression" dxfId="2186" priority="8452" stopIfTrue="1">
      <formula>OR($L$3681="F/S",$L$3681="")</formula>
    </cfRule>
    <cfRule type="cellIs" dxfId="2185" priority="8453" stopIfTrue="1" operator="notEqual">
      <formula>0</formula>
    </cfRule>
  </conditionalFormatting>
  <conditionalFormatting sqref="O3681">
    <cfRule type="expression" dxfId="2184" priority="8454" stopIfTrue="1">
      <formula>OR($O$3681="F/S",$O$3681="")</formula>
    </cfRule>
    <cfRule type="cellIs" dxfId="2183" priority="8455" stopIfTrue="1" operator="notEqual">
      <formula>0</formula>
    </cfRule>
  </conditionalFormatting>
  <conditionalFormatting sqref="L3713">
    <cfRule type="expression" dxfId="2182" priority="8456" stopIfTrue="1">
      <formula>OR($L$3713="F/S",$L$3713="")</formula>
    </cfRule>
    <cfRule type="cellIs" dxfId="2181" priority="8457" stopIfTrue="1" operator="notEqual">
      <formula>0</formula>
    </cfRule>
  </conditionalFormatting>
  <conditionalFormatting sqref="O3713">
    <cfRule type="expression" dxfId="2180" priority="8458" stopIfTrue="1">
      <formula>OR($O$3713="F/S",$O$3713="")</formula>
    </cfRule>
    <cfRule type="cellIs" dxfId="2179" priority="8459" stopIfTrue="1" operator="notEqual">
      <formula>0</formula>
    </cfRule>
  </conditionalFormatting>
  <conditionalFormatting sqref="L3727">
    <cfRule type="expression" dxfId="2178" priority="8464" stopIfTrue="1">
      <formula>OR($L$3727="F/S",$L$3727="")</formula>
    </cfRule>
    <cfRule type="cellIs" dxfId="2177" priority="8465" stopIfTrue="1" operator="notEqual">
      <formula>0</formula>
    </cfRule>
  </conditionalFormatting>
  <conditionalFormatting sqref="O3727">
    <cfRule type="expression" dxfId="2176" priority="8466" stopIfTrue="1">
      <formula>OR($O$3727="F/S",$O$3727="")</formula>
    </cfRule>
    <cfRule type="cellIs" dxfId="2175" priority="8467" stopIfTrue="1" operator="notEqual">
      <formula>0</formula>
    </cfRule>
  </conditionalFormatting>
  <conditionalFormatting sqref="L3746">
    <cfRule type="expression" dxfId="2174" priority="8468" stopIfTrue="1">
      <formula>OR($L$3746="F/S",$L$3746="")</formula>
    </cfRule>
    <cfRule type="cellIs" dxfId="2173" priority="8469" stopIfTrue="1" operator="notEqual">
      <formula>0</formula>
    </cfRule>
  </conditionalFormatting>
  <conditionalFormatting sqref="O3746">
    <cfRule type="expression" dxfId="2172" priority="8470" stopIfTrue="1">
      <formula>OR($O$3746="F/S",$O$3746="")</formula>
    </cfRule>
    <cfRule type="cellIs" dxfId="2171" priority="8471" stopIfTrue="1" operator="notEqual">
      <formula>0</formula>
    </cfRule>
  </conditionalFormatting>
  <conditionalFormatting sqref="L3770">
    <cfRule type="expression" dxfId="2170" priority="8472" stopIfTrue="1">
      <formula>OR($L$3770="F/S",$L$3770="")</formula>
    </cfRule>
    <cfRule type="cellIs" dxfId="2169" priority="8473" stopIfTrue="1" operator="notEqual">
      <formula>0</formula>
    </cfRule>
  </conditionalFormatting>
  <conditionalFormatting sqref="O3770">
    <cfRule type="expression" dxfId="2168" priority="8474" stopIfTrue="1">
      <formula>OR($O$3770="F/S",$O$3770="")</formula>
    </cfRule>
    <cfRule type="cellIs" dxfId="2167" priority="8475" stopIfTrue="1" operator="notEqual">
      <formula>0</formula>
    </cfRule>
  </conditionalFormatting>
  <conditionalFormatting sqref="L3790">
    <cfRule type="expression" dxfId="2166" priority="8476" stopIfTrue="1">
      <formula>OR($L$3790="F/S",$L$3790="")</formula>
    </cfRule>
    <cfRule type="cellIs" dxfId="2165" priority="8477" stopIfTrue="1" operator="notEqual">
      <formula>0</formula>
    </cfRule>
  </conditionalFormatting>
  <conditionalFormatting sqref="O3790">
    <cfRule type="expression" dxfId="2164" priority="8478" stopIfTrue="1">
      <formula>OR($O$3790="F/S",$O$3790="")</formula>
    </cfRule>
    <cfRule type="cellIs" dxfId="2163" priority="8479" stopIfTrue="1" operator="notEqual">
      <formula>0</formula>
    </cfRule>
  </conditionalFormatting>
  <conditionalFormatting sqref="L3801">
    <cfRule type="expression" dxfId="2162" priority="8480" stopIfTrue="1">
      <formula>OR($L$3801="F/S",$L$3801="")</formula>
    </cfRule>
    <cfRule type="cellIs" dxfId="2161" priority="8481" stopIfTrue="1" operator="notEqual">
      <formula>0</formula>
    </cfRule>
  </conditionalFormatting>
  <conditionalFormatting sqref="O3801">
    <cfRule type="expression" dxfId="2160" priority="8482" stopIfTrue="1">
      <formula>OR($O$3801="F/S",$O$3801="")</formula>
    </cfRule>
    <cfRule type="cellIs" dxfId="2159" priority="8483" stopIfTrue="1" operator="notEqual">
      <formula>0</formula>
    </cfRule>
  </conditionalFormatting>
  <conditionalFormatting sqref="L3818">
    <cfRule type="expression" dxfId="2158" priority="8484" stopIfTrue="1">
      <formula>OR($L$3818="F/S",$L$3818="")</formula>
    </cfRule>
    <cfRule type="cellIs" dxfId="2157" priority="8485" stopIfTrue="1" operator="notEqual">
      <formula>0</formula>
    </cfRule>
  </conditionalFormatting>
  <conditionalFormatting sqref="O3818">
    <cfRule type="expression" dxfId="2156" priority="8486" stopIfTrue="1">
      <formula>OR($O$3818="F/S",$O$3818="")</formula>
    </cfRule>
    <cfRule type="cellIs" dxfId="2155" priority="8487" stopIfTrue="1" operator="notEqual">
      <formula>0</formula>
    </cfRule>
  </conditionalFormatting>
  <conditionalFormatting sqref="L3829">
    <cfRule type="expression" dxfId="2154" priority="8488" stopIfTrue="1">
      <formula>OR($L$3829="F/S",$L$3829="")</formula>
    </cfRule>
    <cfRule type="cellIs" dxfId="2153" priority="8489" stopIfTrue="1" operator="notEqual">
      <formula>0</formula>
    </cfRule>
  </conditionalFormatting>
  <conditionalFormatting sqref="O3829">
    <cfRule type="expression" dxfId="2152" priority="8490" stopIfTrue="1">
      <formula>OR($O$3829="F/S",$O$3829="")</formula>
    </cfRule>
    <cfRule type="cellIs" dxfId="2151" priority="8491" stopIfTrue="1" operator="notEqual">
      <formula>0</formula>
    </cfRule>
  </conditionalFormatting>
  <conditionalFormatting sqref="L3856">
    <cfRule type="expression" dxfId="2150" priority="8492" stopIfTrue="1">
      <formula>OR($L$3856="F/S",$L$3856="")</formula>
    </cfRule>
    <cfRule type="cellIs" dxfId="2149" priority="8493" stopIfTrue="1" operator="notEqual">
      <formula>0</formula>
    </cfRule>
  </conditionalFormatting>
  <conditionalFormatting sqref="O3856">
    <cfRule type="expression" dxfId="2148" priority="8494" stopIfTrue="1">
      <formula>OR($O$3856="F/S",$O$3856="")</formula>
    </cfRule>
    <cfRule type="cellIs" dxfId="2147" priority="8495" stopIfTrue="1" operator="notEqual">
      <formula>0</formula>
    </cfRule>
  </conditionalFormatting>
  <conditionalFormatting sqref="L3839">
    <cfRule type="expression" dxfId="2146" priority="8496" stopIfTrue="1">
      <formula>OR($L$3839="F/S",$L$3839="")</formula>
    </cfRule>
    <cfRule type="cellIs" dxfId="2145" priority="8497" stopIfTrue="1" operator="notEqual">
      <formula>0</formula>
    </cfRule>
  </conditionalFormatting>
  <conditionalFormatting sqref="O3839">
    <cfRule type="expression" dxfId="2144" priority="8498" stopIfTrue="1">
      <formula>OR($O$3839="F/S",$O$3839="")</formula>
    </cfRule>
    <cfRule type="cellIs" dxfId="2143" priority="8499" stopIfTrue="1" operator="notEqual">
      <formula>0</formula>
    </cfRule>
  </conditionalFormatting>
  <conditionalFormatting sqref="L3886">
    <cfRule type="expression" dxfId="2142" priority="8500" stopIfTrue="1">
      <formula>OR($L$3886="F/S",$L$3886="")</formula>
    </cfRule>
    <cfRule type="cellIs" dxfId="2141" priority="8501" stopIfTrue="1" operator="notEqual">
      <formula>0</formula>
    </cfRule>
  </conditionalFormatting>
  <conditionalFormatting sqref="O3886">
    <cfRule type="expression" dxfId="2140" priority="8502" stopIfTrue="1">
      <formula>OR($O$3886="F/S",$O$3886="")</formula>
    </cfRule>
    <cfRule type="cellIs" dxfId="2139" priority="8503" stopIfTrue="1" operator="notEqual">
      <formula>0</formula>
    </cfRule>
  </conditionalFormatting>
  <conditionalFormatting sqref="L3866">
    <cfRule type="expression" dxfId="2138" priority="8504" stopIfTrue="1">
      <formula>OR($L$3866="F/S",$L$3866="")</formula>
    </cfRule>
    <cfRule type="cellIs" dxfId="2137" priority="8505" stopIfTrue="1" operator="notEqual">
      <formula>0</formula>
    </cfRule>
  </conditionalFormatting>
  <conditionalFormatting sqref="O3866">
    <cfRule type="expression" dxfId="2136" priority="8506" stopIfTrue="1">
      <formula>OR($O$3866="F/S",$O$3866="")</formula>
    </cfRule>
    <cfRule type="cellIs" dxfId="2135" priority="8507" stopIfTrue="1" operator="notEqual">
      <formula>0</formula>
    </cfRule>
  </conditionalFormatting>
  <conditionalFormatting sqref="L3876">
    <cfRule type="expression" dxfId="2134" priority="8508" stopIfTrue="1">
      <formula>OR($L$3876="F/S",$L$3876="")</formula>
    </cfRule>
    <cfRule type="cellIs" dxfId="2133" priority="8509" stopIfTrue="1" operator="notEqual">
      <formula>0</formula>
    </cfRule>
  </conditionalFormatting>
  <conditionalFormatting sqref="O3876">
    <cfRule type="expression" dxfId="2132" priority="8510" stopIfTrue="1">
      <formula>OR($O$3876="F/S",$O$3876="")</formula>
    </cfRule>
    <cfRule type="cellIs" dxfId="2131" priority="8511" stopIfTrue="1" operator="notEqual">
      <formula>0</formula>
    </cfRule>
  </conditionalFormatting>
  <conditionalFormatting sqref="L3896">
    <cfRule type="expression" dxfId="2130" priority="8512" stopIfTrue="1">
      <formula>OR($L$3896="F/S",$L$3896="")</formula>
    </cfRule>
    <cfRule type="cellIs" dxfId="2129" priority="8513" stopIfTrue="1" operator="notEqual">
      <formula>0</formula>
    </cfRule>
  </conditionalFormatting>
  <conditionalFormatting sqref="O3896">
    <cfRule type="expression" dxfId="2128" priority="8514" stopIfTrue="1">
      <formula>OR($O$3896="F/S",$O$3896="")</formula>
    </cfRule>
    <cfRule type="cellIs" dxfId="2127" priority="8515" stopIfTrue="1" operator="notEqual">
      <formula>0</formula>
    </cfRule>
  </conditionalFormatting>
  <conditionalFormatting sqref="L3760">
    <cfRule type="expression" dxfId="2126" priority="8516" stopIfTrue="1">
      <formula>OR($L$3760="F/S",$L$3760="")</formula>
    </cfRule>
    <cfRule type="cellIs" dxfId="2125" priority="8517" stopIfTrue="1" operator="notEqual">
      <formula>0</formula>
    </cfRule>
  </conditionalFormatting>
  <conditionalFormatting sqref="O3760">
    <cfRule type="expression" dxfId="2124" priority="8518" stopIfTrue="1">
      <formula>OR($O$3760="F/S",$O$3760="")</formula>
    </cfRule>
    <cfRule type="cellIs" dxfId="2123" priority="8519" stopIfTrue="1" operator="notEqual">
      <formula>0</formula>
    </cfRule>
  </conditionalFormatting>
  <conditionalFormatting sqref="L3916">
    <cfRule type="expression" dxfId="2122" priority="8520" stopIfTrue="1">
      <formula>OR($L$3916="F/S",$L$3916="")</formula>
    </cfRule>
    <cfRule type="cellIs" dxfId="2121" priority="8521" stopIfTrue="1" operator="notEqual">
      <formula>0</formula>
    </cfRule>
  </conditionalFormatting>
  <conditionalFormatting sqref="O3916">
    <cfRule type="expression" dxfId="2120" priority="8522" stopIfTrue="1">
      <formula>OR($O$3916="F/S",$O$3916="")</formula>
    </cfRule>
    <cfRule type="cellIs" dxfId="2119" priority="8523" stopIfTrue="1" operator="notEqual">
      <formula>0</formula>
    </cfRule>
  </conditionalFormatting>
  <conditionalFormatting sqref="L3927">
    <cfRule type="expression" dxfId="2118" priority="8524" stopIfTrue="1">
      <formula>OR($L$3927="F/S",$L$3927="")</formula>
    </cfRule>
    <cfRule type="cellIs" dxfId="2117" priority="8525" stopIfTrue="1" operator="notEqual">
      <formula>0</formula>
    </cfRule>
  </conditionalFormatting>
  <conditionalFormatting sqref="O3927">
    <cfRule type="expression" dxfId="2116" priority="8526" stopIfTrue="1">
      <formula>OR($O$3927="F/S",$O$3927="")</formula>
    </cfRule>
    <cfRule type="cellIs" dxfId="2115" priority="8527" stopIfTrue="1" operator="notEqual">
      <formula>0</formula>
    </cfRule>
  </conditionalFormatting>
  <conditionalFormatting sqref="L3937">
    <cfRule type="expression" dxfId="2114" priority="8528" stopIfTrue="1">
      <formula>OR($L$3937="F/S",$L$3937="")</formula>
    </cfRule>
    <cfRule type="cellIs" dxfId="2113" priority="8529" stopIfTrue="1" operator="notEqual">
      <formula>0</formula>
    </cfRule>
  </conditionalFormatting>
  <conditionalFormatting sqref="O3937">
    <cfRule type="expression" dxfId="2112" priority="8530" stopIfTrue="1">
      <formula>OR($O$3937="F/S",$O$3937="")</formula>
    </cfRule>
    <cfRule type="cellIs" dxfId="2111" priority="8531" stopIfTrue="1" operator="notEqual">
      <formula>0</formula>
    </cfRule>
  </conditionalFormatting>
  <conditionalFormatting sqref="L3947">
    <cfRule type="expression" dxfId="2110" priority="8532" stopIfTrue="1">
      <formula>OR($L$3947="F/S",$L$3947="")</formula>
    </cfRule>
    <cfRule type="cellIs" dxfId="2109" priority="8533" stopIfTrue="1" operator="notEqual">
      <formula>0</formula>
    </cfRule>
  </conditionalFormatting>
  <conditionalFormatting sqref="O3947">
    <cfRule type="expression" dxfId="2108" priority="8534" stopIfTrue="1">
      <formula>OR($O$3947="F/S",$O$3947="")</formula>
    </cfRule>
    <cfRule type="cellIs" dxfId="2107" priority="8535" stopIfTrue="1" operator="notEqual">
      <formula>0</formula>
    </cfRule>
  </conditionalFormatting>
  <conditionalFormatting sqref="L3957">
    <cfRule type="expression" dxfId="2106" priority="8536" stopIfTrue="1">
      <formula>OR($L$3957="F/S",$L$3957="")</formula>
    </cfRule>
    <cfRule type="cellIs" dxfId="2105" priority="8537" stopIfTrue="1" operator="notEqual">
      <formula>0</formula>
    </cfRule>
  </conditionalFormatting>
  <conditionalFormatting sqref="O3957">
    <cfRule type="expression" dxfId="2104" priority="8538" stopIfTrue="1">
      <formula>OR($O$3957="F/S",$O$3957="")</formula>
    </cfRule>
    <cfRule type="cellIs" dxfId="2103" priority="8539" stopIfTrue="1" operator="notEqual">
      <formula>0</formula>
    </cfRule>
  </conditionalFormatting>
  <conditionalFormatting sqref="L3968">
    <cfRule type="expression" dxfId="2102" priority="8540" stopIfTrue="1">
      <formula>OR($L$3968="F/S",$L$3968="")</formula>
    </cfRule>
    <cfRule type="cellIs" dxfId="2101" priority="8541" stopIfTrue="1" operator="notEqual">
      <formula>0</formula>
    </cfRule>
  </conditionalFormatting>
  <conditionalFormatting sqref="O3968">
    <cfRule type="expression" dxfId="2100" priority="8542" stopIfTrue="1">
      <formula>OR($O$3968="F/S",$O$3968="")</formula>
    </cfRule>
    <cfRule type="cellIs" dxfId="2099" priority="8543" stopIfTrue="1" operator="notEqual">
      <formula>0</formula>
    </cfRule>
  </conditionalFormatting>
  <conditionalFormatting sqref="L3979">
    <cfRule type="expression" dxfId="2098" priority="8544" stopIfTrue="1">
      <formula>OR($L$3979="F/S",$L$3979="")</formula>
    </cfRule>
    <cfRule type="cellIs" dxfId="2097" priority="8545" stopIfTrue="1" operator="notEqual">
      <formula>0</formula>
    </cfRule>
  </conditionalFormatting>
  <conditionalFormatting sqref="O3979">
    <cfRule type="expression" dxfId="2096" priority="8546" stopIfTrue="1">
      <formula>OR($O$3979="F/S",$O$3979="")</formula>
    </cfRule>
    <cfRule type="cellIs" dxfId="2095" priority="8547" stopIfTrue="1" operator="notEqual">
      <formula>0</formula>
    </cfRule>
  </conditionalFormatting>
  <conditionalFormatting sqref="L3997">
    <cfRule type="expression" dxfId="2094" priority="8552" stopIfTrue="1">
      <formula>OR($L$3997="F/S",$L$3997="")</formula>
    </cfRule>
    <cfRule type="cellIs" dxfId="2093" priority="8553" stopIfTrue="1" operator="notEqual">
      <formula>0</formula>
    </cfRule>
  </conditionalFormatting>
  <conditionalFormatting sqref="O3997">
    <cfRule type="expression" dxfId="2092" priority="8554" stopIfTrue="1">
      <formula>OR($O$3997="F/S",$O$3997="")</formula>
    </cfRule>
    <cfRule type="cellIs" dxfId="2091" priority="8555" stopIfTrue="1" operator="notEqual">
      <formula>0</formula>
    </cfRule>
  </conditionalFormatting>
  <conditionalFormatting sqref="L4010">
    <cfRule type="expression" dxfId="2090" priority="8556" stopIfTrue="1">
      <formula>OR($L$4010="F/S",$L$4010="")</formula>
    </cfRule>
    <cfRule type="cellIs" dxfId="2089" priority="8557" stopIfTrue="1" operator="notEqual">
      <formula>0</formula>
    </cfRule>
  </conditionalFormatting>
  <conditionalFormatting sqref="O4010">
    <cfRule type="expression" dxfId="2088" priority="8558" stopIfTrue="1">
      <formula>OR($O$4010="F/S",$O$4010="")</formula>
    </cfRule>
    <cfRule type="cellIs" dxfId="2087" priority="8559" stopIfTrue="1" operator="notEqual">
      <formula>0</formula>
    </cfRule>
  </conditionalFormatting>
  <conditionalFormatting sqref="L4020">
    <cfRule type="expression" dxfId="2086" priority="8560" stopIfTrue="1">
      <formula>OR($L$4020="F/S",$L$4020="")</formula>
    </cfRule>
    <cfRule type="cellIs" dxfId="2085" priority="8561" stopIfTrue="1" operator="notEqual">
      <formula>0</formula>
    </cfRule>
  </conditionalFormatting>
  <conditionalFormatting sqref="O4020">
    <cfRule type="expression" dxfId="2084" priority="8562" stopIfTrue="1">
      <formula>OR($O$4020="F/S",$O$4020="")</formula>
    </cfRule>
    <cfRule type="cellIs" dxfId="2083" priority="8563" stopIfTrue="1" operator="notEqual">
      <formula>0</formula>
    </cfRule>
  </conditionalFormatting>
  <conditionalFormatting sqref="L4030">
    <cfRule type="expression" dxfId="2082" priority="8564" stopIfTrue="1">
      <formula>OR($L$4030="F/S",$L$4030="")</formula>
    </cfRule>
    <cfRule type="cellIs" dxfId="2081" priority="8565" stopIfTrue="1" operator="notEqual">
      <formula>0</formula>
    </cfRule>
  </conditionalFormatting>
  <conditionalFormatting sqref="O4030">
    <cfRule type="expression" dxfId="2080" priority="8566" stopIfTrue="1">
      <formula>OR($O$4030="F/S",$O$4030="")</formula>
    </cfRule>
    <cfRule type="cellIs" dxfId="2079" priority="8567" stopIfTrue="1" operator="notEqual">
      <formula>0</formula>
    </cfRule>
  </conditionalFormatting>
  <conditionalFormatting sqref="L4040">
    <cfRule type="expression" dxfId="2078" priority="8568" stopIfTrue="1">
      <formula>OR($L$4040="F/S",$L$4040="")</formula>
    </cfRule>
    <cfRule type="cellIs" dxfId="2077" priority="8569" stopIfTrue="1" operator="notEqual">
      <formula>0</formula>
    </cfRule>
  </conditionalFormatting>
  <conditionalFormatting sqref="O4040">
    <cfRule type="expression" dxfId="2076" priority="8570" stopIfTrue="1">
      <formula>OR($O$4040="F/S",$O$4040="")</formula>
    </cfRule>
    <cfRule type="cellIs" dxfId="2075" priority="8571" stopIfTrue="1" operator="notEqual">
      <formula>0</formula>
    </cfRule>
  </conditionalFormatting>
  <conditionalFormatting sqref="L4051">
    <cfRule type="expression" dxfId="2074" priority="8572" stopIfTrue="1">
      <formula>OR($L$4051="F/S",$L$4051="")</formula>
    </cfRule>
    <cfRule type="cellIs" dxfId="2073" priority="8573" stopIfTrue="1" operator="notEqual">
      <formula>0</formula>
    </cfRule>
  </conditionalFormatting>
  <conditionalFormatting sqref="O4051">
    <cfRule type="expression" dxfId="2072" priority="8574" stopIfTrue="1">
      <formula>OR($O$4051="F/S",$O$4051="")</formula>
    </cfRule>
    <cfRule type="cellIs" dxfId="2071" priority="8575" stopIfTrue="1" operator="notEqual">
      <formula>0</formula>
    </cfRule>
  </conditionalFormatting>
  <conditionalFormatting sqref="L4061">
    <cfRule type="expression" dxfId="2070" priority="8576" stopIfTrue="1">
      <formula>OR($L$4061="F/S",$L$4061="")</formula>
    </cfRule>
    <cfRule type="cellIs" dxfId="2069" priority="8577" stopIfTrue="1" operator="notEqual">
      <formula>0</formula>
    </cfRule>
  </conditionalFormatting>
  <conditionalFormatting sqref="O4061">
    <cfRule type="expression" dxfId="2068" priority="8578" stopIfTrue="1">
      <formula>OR($O$4061="F/S",$O$4061="")</formula>
    </cfRule>
    <cfRule type="cellIs" dxfId="2067" priority="8579" stopIfTrue="1" operator="notEqual">
      <formula>0</formula>
    </cfRule>
  </conditionalFormatting>
  <conditionalFormatting sqref="L4074">
    <cfRule type="expression" dxfId="2066" priority="8580" stopIfTrue="1">
      <formula>OR($L$4074="F/S",$L$4074="")</formula>
    </cfRule>
    <cfRule type="cellIs" dxfId="2065" priority="8581" stopIfTrue="1" operator="notEqual">
      <formula>0</formula>
    </cfRule>
  </conditionalFormatting>
  <conditionalFormatting sqref="O4074">
    <cfRule type="expression" dxfId="2064" priority="8582" stopIfTrue="1">
      <formula>OR($O$4074="F/S",$O$4074="")</formula>
    </cfRule>
    <cfRule type="cellIs" dxfId="2063" priority="8583" stopIfTrue="1" operator="notEqual">
      <formula>0</formula>
    </cfRule>
  </conditionalFormatting>
  <conditionalFormatting sqref="L4084">
    <cfRule type="expression" dxfId="2062" priority="8584" stopIfTrue="1">
      <formula>OR($L$4084="F/S",$L$4084="")</formula>
    </cfRule>
    <cfRule type="cellIs" dxfId="2061" priority="8585" stopIfTrue="1" operator="notEqual">
      <formula>0</formula>
    </cfRule>
  </conditionalFormatting>
  <conditionalFormatting sqref="O4084">
    <cfRule type="expression" dxfId="2060" priority="8586" stopIfTrue="1">
      <formula>OR($O$4084="F/S",$O$4084="")</formula>
    </cfRule>
    <cfRule type="cellIs" dxfId="2059" priority="8587" stopIfTrue="1" operator="notEqual">
      <formula>0</formula>
    </cfRule>
  </conditionalFormatting>
  <conditionalFormatting sqref="L4107">
    <cfRule type="expression" dxfId="2058" priority="8588" stopIfTrue="1">
      <formula>OR($L$4107="F/S",$L$4107="")</formula>
    </cfRule>
    <cfRule type="cellIs" dxfId="2057" priority="8589" stopIfTrue="1" operator="notEqual">
      <formula>0</formula>
    </cfRule>
  </conditionalFormatting>
  <conditionalFormatting sqref="O4107">
    <cfRule type="expression" dxfId="2056" priority="8590" stopIfTrue="1">
      <formula>OR($O$4107="F/S",$O$4107="")</formula>
    </cfRule>
    <cfRule type="cellIs" dxfId="2055" priority="8591" stopIfTrue="1" operator="notEqual">
      <formula>0</formula>
    </cfRule>
  </conditionalFormatting>
  <conditionalFormatting sqref="L4118">
    <cfRule type="expression" dxfId="2054" priority="8592" stopIfTrue="1">
      <formula>OR($L$4118="F/S",$L$4118="")</formula>
    </cfRule>
    <cfRule type="cellIs" dxfId="2053" priority="8593" stopIfTrue="1" operator="notEqual">
      <formula>0</formula>
    </cfRule>
  </conditionalFormatting>
  <conditionalFormatting sqref="O4118">
    <cfRule type="expression" dxfId="2052" priority="8594" stopIfTrue="1">
      <formula>OR($O$4118="F/S",$O$4118="")</formula>
    </cfRule>
    <cfRule type="cellIs" dxfId="2051" priority="8595" stopIfTrue="1" operator="notEqual">
      <formula>0</formula>
    </cfRule>
  </conditionalFormatting>
  <conditionalFormatting sqref="L4136">
    <cfRule type="expression" dxfId="2050" priority="8596" stopIfTrue="1">
      <formula>OR($L$4136="F/S",$L$4136="")</formula>
    </cfRule>
    <cfRule type="cellIs" dxfId="2049" priority="8597" stopIfTrue="1" operator="notEqual">
      <formula>0</formula>
    </cfRule>
  </conditionalFormatting>
  <conditionalFormatting sqref="O4136">
    <cfRule type="expression" dxfId="2048" priority="8598" stopIfTrue="1">
      <formula>OR($O$4136="F/S",$O$4136="")</formula>
    </cfRule>
    <cfRule type="cellIs" dxfId="2047" priority="8599" stopIfTrue="1" operator="notEqual">
      <formula>0</formula>
    </cfRule>
  </conditionalFormatting>
  <conditionalFormatting sqref="L4147">
    <cfRule type="expression" dxfId="2046" priority="8600" stopIfTrue="1">
      <formula>OR($L$4147="F/S",$L$4147="")</formula>
    </cfRule>
    <cfRule type="cellIs" dxfId="2045" priority="8601" stopIfTrue="1" operator="notEqual">
      <formula>0</formula>
    </cfRule>
  </conditionalFormatting>
  <conditionalFormatting sqref="O4147">
    <cfRule type="expression" dxfId="2044" priority="8602" stopIfTrue="1">
      <formula>OR($O$4147="F/S",$O$4147="")</formula>
    </cfRule>
    <cfRule type="cellIs" dxfId="2043" priority="8603" stopIfTrue="1" operator="notEqual">
      <formula>0</formula>
    </cfRule>
  </conditionalFormatting>
  <conditionalFormatting sqref="L4157">
    <cfRule type="expression" dxfId="2042" priority="8604" stopIfTrue="1">
      <formula>OR($L$4157="F/S",$L$4157="")</formula>
    </cfRule>
    <cfRule type="cellIs" dxfId="2041" priority="8605" stopIfTrue="1" operator="notEqual">
      <formula>0</formula>
    </cfRule>
  </conditionalFormatting>
  <conditionalFormatting sqref="O4157">
    <cfRule type="expression" dxfId="2040" priority="8606" stopIfTrue="1">
      <formula>OR($O$4157="F/S",$O$4157="")</formula>
    </cfRule>
    <cfRule type="cellIs" dxfId="2039" priority="8607" stopIfTrue="1" operator="notEqual">
      <formula>0</formula>
    </cfRule>
  </conditionalFormatting>
  <conditionalFormatting sqref="L4168">
    <cfRule type="expression" dxfId="2038" priority="8608" stopIfTrue="1">
      <formula>OR($L$4168="F/S",$L$4168="")</formula>
    </cfRule>
    <cfRule type="cellIs" dxfId="2037" priority="8609" stopIfTrue="1" operator="notEqual">
      <formula>0</formula>
    </cfRule>
  </conditionalFormatting>
  <conditionalFormatting sqref="O4168">
    <cfRule type="expression" dxfId="2036" priority="8610" stopIfTrue="1">
      <formula>OR($O$4168="F/S",$O$4168="")</formula>
    </cfRule>
    <cfRule type="cellIs" dxfId="2035" priority="8611" stopIfTrue="1" operator="notEqual">
      <formula>0</formula>
    </cfRule>
  </conditionalFormatting>
  <conditionalFormatting sqref="L4178">
    <cfRule type="expression" dxfId="2034" priority="8612" stopIfTrue="1">
      <formula>OR($L$4178="F/S",$L$4178="")</formula>
    </cfRule>
    <cfRule type="cellIs" dxfId="2033" priority="8613" stopIfTrue="1" operator="notEqual">
      <formula>0</formula>
    </cfRule>
  </conditionalFormatting>
  <conditionalFormatting sqref="O4178">
    <cfRule type="expression" dxfId="2032" priority="8614" stopIfTrue="1">
      <formula>OR($O$4178="F/S",$O$4178="")</formula>
    </cfRule>
    <cfRule type="cellIs" dxfId="2031" priority="8615" stopIfTrue="1" operator="notEqual">
      <formula>0</formula>
    </cfRule>
  </conditionalFormatting>
  <conditionalFormatting sqref="L4198">
    <cfRule type="expression" dxfId="2030" priority="8616" stopIfTrue="1">
      <formula>OR($L$4198="F/S",$L$4198="")</formula>
    </cfRule>
    <cfRule type="cellIs" dxfId="2029" priority="8617" stopIfTrue="1" operator="notEqual">
      <formula>0</formula>
    </cfRule>
  </conditionalFormatting>
  <conditionalFormatting sqref="O4198">
    <cfRule type="expression" dxfId="2028" priority="8618" stopIfTrue="1">
      <formula>OR($O$4198="F/S",$O$4198="")</formula>
    </cfRule>
    <cfRule type="cellIs" dxfId="2027" priority="8619" stopIfTrue="1" operator="notEqual">
      <formula>0</formula>
    </cfRule>
  </conditionalFormatting>
  <conditionalFormatting sqref="L4213">
    <cfRule type="expression" dxfId="2026" priority="8620" stopIfTrue="1">
      <formula>OR($L$4213="F/S",$L$4213="")</formula>
    </cfRule>
    <cfRule type="cellIs" dxfId="2025" priority="8621" stopIfTrue="1" operator="notEqual">
      <formula>0</formula>
    </cfRule>
  </conditionalFormatting>
  <conditionalFormatting sqref="O4213">
    <cfRule type="expression" dxfId="2024" priority="8622" stopIfTrue="1">
      <formula>OR($O$4213="F/S",$O$4213="")</formula>
    </cfRule>
    <cfRule type="cellIs" dxfId="2023" priority="8623" stopIfTrue="1" operator="notEqual">
      <formula>0</formula>
    </cfRule>
  </conditionalFormatting>
  <conditionalFormatting sqref="L4222">
    <cfRule type="expression" dxfId="2022" priority="8632" stopIfTrue="1">
      <formula>OR($L$4222="F/S",$L$4222="")</formula>
    </cfRule>
    <cfRule type="cellIs" dxfId="2021" priority="8633" stopIfTrue="1" operator="notEqual">
      <formula>0</formula>
    </cfRule>
  </conditionalFormatting>
  <conditionalFormatting sqref="O4222">
    <cfRule type="expression" dxfId="2020" priority="8634" stopIfTrue="1">
      <formula>OR($O$4222="F/S",$O$4222="")</formula>
    </cfRule>
    <cfRule type="cellIs" dxfId="2019" priority="8635" stopIfTrue="1" operator="notEqual">
      <formula>0</formula>
    </cfRule>
  </conditionalFormatting>
  <conditionalFormatting sqref="L4233">
    <cfRule type="expression" dxfId="2018" priority="8636" stopIfTrue="1">
      <formula>OR($L$4233="F/S",$L$4233="")</formula>
    </cfRule>
    <cfRule type="cellIs" dxfId="2017" priority="8637" stopIfTrue="1" operator="notEqual">
      <formula>0</formula>
    </cfRule>
  </conditionalFormatting>
  <conditionalFormatting sqref="O4233">
    <cfRule type="expression" dxfId="2016" priority="8638" stopIfTrue="1">
      <formula>OR($O$4233="F/S",$O$4233="")</formula>
    </cfRule>
    <cfRule type="cellIs" dxfId="2015" priority="8639" stopIfTrue="1" operator="notEqual">
      <formula>0</formula>
    </cfRule>
  </conditionalFormatting>
  <conditionalFormatting sqref="L4247">
    <cfRule type="expression" dxfId="2014" priority="8640" stopIfTrue="1">
      <formula>OR($L$4247="F/S",$L$4247="")</formula>
    </cfRule>
    <cfRule type="cellIs" dxfId="2013" priority="8641" stopIfTrue="1" operator="notEqual">
      <formula>0</formula>
    </cfRule>
  </conditionalFormatting>
  <conditionalFormatting sqref="O4247">
    <cfRule type="expression" dxfId="2012" priority="8642" stopIfTrue="1">
      <formula>OR($O$4247="F/S",$O$4247="")</formula>
    </cfRule>
    <cfRule type="cellIs" dxfId="2011" priority="8643" stopIfTrue="1" operator="notEqual">
      <formula>0</formula>
    </cfRule>
  </conditionalFormatting>
  <conditionalFormatting sqref="L4261">
    <cfRule type="expression" dxfId="2010" priority="8644" stopIfTrue="1">
      <formula>OR($L$4261="F/S",$L$4261="")</formula>
    </cfRule>
    <cfRule type="cellIs" dxfId="2009" priority="8645" stopIfTrue="1" operator="notEqual">
      <formula>0</formula>
    </cfRule>
  </conditionalFormatting>
  <conditionalFormatting sqref="O4261">
    <cfRule type="expression" dxfId="2008" priority="8646" stopIfTrue="1">
      <formula>OR($O$4261="F/S",$O$4261="")</formula>
    </cfRule>
    <cfRule type="cellIs" dxfId="2007" priority="8647" stopIfTrue="1" operator="notEqual">
      <formula>0</formula>
    </cfRule>
  </conditionalFormatting>
  <conditionalFormatting sqref="L4269">
    <cfRule type="expression" dxfId="2006" priority="8648" stopIfTrue="1">
      <formula>OR($L$4269="F/S",$L$4269="")</formula>
    </cfRule>
    <cfRule type="cellIs" dxfId="2005" priority="8649" stopIfTrue="1" operator="notEqual">
      <formula>0</formula>
    </cfRule>
  </conditionalFormatting>
  <conditionalFormatting sqref="O4269">
    <cfRule type="expression" dxfId="2004" priority="8650" stopIfTrue="1">
      <formula>OR($O$4269="F/S",$O$4269="")</formula>
    </cfRule>
    <cfRule type="cellIs" dxfId="2003" priority="8651" stopIfTrue="1" operator="notEqual">
      <formula>0</formula>
    </cfRule>
  </conditionalFormatting>
  <conditionalFormatting sqref="L4287 L4297">
    <cfRule type="expression" dxfId="2002" priority="8652" stopIfTrue="1">
      <formula>OR($L$4287="F/S",$L$4287="")</formula>
    </cfRule>
    <cfRule type="cellIs" dxfId="2001" priority="8653" stopIfTrue="1" operator="notEqual">
      <formula>0</formula>
    </cfRule>
  </conditionalFormatting>
  <conditionalFormatting sqref="O4287 O4297">
    <cfRule type="expression" dxfId="2000" priority="8654" stopIfTrue="1">
      <formula>OR($O$4287="F/S",$O$4287="")</formula>
    </cfRule>
    <cfRule type="cellIs" dxfId="1999" priority="8655" stopIfTrue="1" operator="notEqual">
      <formula>0</formula>
    </cfRule>
  </conditionalFormatting>
  <conditionalFormatting sqref="L4297">
    <cfRule type="expression" dxfId="1998" priority="8656" stopIfTrue="1">
      <formula>OR($L$4297="F/S",$L$4297="")</formula>
    </cfRule>
    <cfRule type="cellIs" dxfId="1997" priority="8657" stopIfTrue="1" operator="notEqual">
      <formula>0</formula>
    </cfRule>
  </conditionalFormatting>
  <conditionalFormatting sqref="O4297">
    <cfRule type="expression" dxfId="1996" priority="8658" stopIfTrue="1">
      <formula>OR($O$4297="F/S",$O$4297="")</formula>
    </cfRule>
    <cfRule type="cellIs" dxfId="1995" priority="8659" stopIfTrue="1" operator="notEqual">
      <formula>0</formula>
    </cfRule>
  </conditionalFormatting>
  <conditionalFormatting sqref="L4308">
    <cfRule type="expression" dxfId="1994" priority="8660" stopIfTrue="1">
      <formula>OR($L$4308="F/S",$L$4308="")</formula>
    </cfRule>
    <cfRule type="cellIs" dxfId="1993" priority="8661" stopIfTrue="1" operator="notEqual">
      <formula>0</formula>
    </cfRule>
  </conditionalFormatting>
  <conditionalFormatting sqref="O4308">
    <cfRule type="expression" dxfId="1992" priority="8662" stopIfTrue="1">
      <formula>OR($O$4308="F/S",$O$4308="")</formula>
    </cfRule>
    <cfRule type="cellIs" dxfId="1991" priority="8663" stopIfTrue="1" operator="notEqual">
      <formula>0</formula>
    </cfRule>
  </conditionalFormatting>
  <conditionalFormatting sqref="L4317">
    <cfRule type="expression" dxfId="1990" priority="8664" stopIfTrue="1">
      <formula>OR($L$4317="F/S",$L$4317="")</formula>
    </cfRule>
    <cfRule type="cellIs" dxfId="1989" priority="8665" stopIfTrue="1" operator="notEqual">
      <formula>0</formula>
    </cfRule>
  </conditionalFormatting>
  <conditionalFormatting sqref="O4317">
    <cfRule type="expression" dxfId="1988" priority="8666" stopIfTrue="1">
      <formula>OR($O$4317="F/S",$O$4317="")</formula>
    </cfRule>
    <cfRule type="cellIs" dxfId="1987" priority="8667" stopIfTrue="1" operator="notEqual">
      <formula>0</formula>
    </cfRule>
  </conditionalFormatting>
  <conditionalFormatting sqref="L4351">
    <cfRule type="expression" dxfId="1986" priority="8668" stopIfTrue="1">
      <formula>OR($L$4351="F/S",$L$4351="")</formula>
    </cfRule>
    <cfRule type="cellIs" dxfId="1985" priority="8669" stopIfTrue="1" operator="notEqual">
      <formula>0</formula>
    </cfRule>
  </conditionalFormatting>
  <conditionalFormatting sqref="O4351">
    <cfRule type="expression" dxfId="1984" priority="8670" stopIfTrue="1">
      <formula>OR($O$4351="F/S",$O$4351="")</formula>
    </cfRule>
    <cfRule type="cellIs" dxfId="1983" priority="8671" stopIfTrue="1" operator="notEqual">
      <formula>0</formula>
    </cfRule>
  </conditionalFormatting>
  <conditionalFormatting sqref="L4330">
    <cfRule type="expression" dxfId="1982" priority="8672" stopIfTrue="1">
      <formula>OR($L$4330="F/S",$L$4330="")</formula>
    </cfRule>
    <cfRule type="cellIs" dxfId="1981" priority="8673" stopIfTrue="1" operator="notEqual">
      <formula>0</formula>
    </cfRule>
  </conditionalFormatting>
  <conditionalFormatting sqref="O4330">
    <cfRule type="expression" dxfId="1980" priority="8674" stopIfTrue="1">
      <formula>OR($O$4330="F/S",$O$4330="")</formula>
    </cfRule>
    <cfRule type="cellIs" dxfId="1979" priority="8675" stopIfTrue="1" operator="notEqual">
      <formula>0</formula>
    </cfRule>
  </conditionalFormatting>
  <conditionalFormatting sqref="L4340">
    <cfRule type="expression" dxfId="1978" priority="8676" stopIfTrue="1">
      <formula>OR($L$4340="F/S",$L$4340="")</formula>
    </cfRule>
    <cfRule type="cellIs" dxfId="1977" priority="8677" stopIfTrue="1" operator="notEqual">
      <formula>0</formula>
    </cfRule>
  </conditionalFormatting>
  <conditionalFormatting sqref="O4340">
    <cfRule type="expression" dxfId="1976" priority="8678" stopIfTrue="1">
      <formula>OR($O$4340="F/S",$O$4340="")</formula>
    </cfRule>
    <cfRule type="cellIs" dxfId="1975" priority="8679" stopIfTrue="1" operator="notEqual">
      <formula>0</formula>
    </cfRule>
  </conditionalFormatting>
  <conditionalFormatting sqref="L4424">
    <cfRule type="expression" dxfId="1974" priority="8684" stopIfTrue="1">
      <formula>OR($L$4424="F/S",$L$4424="")</formula>
    </cfRule>
    <cfRule type="cellIs" dxfId="1973" priority="8685" stopIfTrue="1" operator="notEqual">
      <formula>0</formula>
    </cfRule>
  </conditionalFormatting>
  <conditionalFormatting sqref="O4424">
    <cfRule type="expression" dxfId="1972" priority="8686" stopIfTrue="1">
      <formula>OR($O$4424="F/S",$O$4424="")</formula>
    </cfRule>
    <cfRule type="cellIs" dxfId="1971" priority="8687" stopIfTrue="1" operator="notEqual">
      <formula>0</formula>
    </cfRule>
  </conditionalFormatting>
  <conditionalFormatting sqref="L4437">
    <cfRule type="expression" dxfId="1970" priority="8688" stopIfTrue="1">
      <formula>OR($L$4437="F/S",$L$4437="")</formula>
    </cfRule>
    <cfRule type="cellIs" dxfId="1969" priority="8689" stopIfTrue="1" operator="notEqual">
      <formula>0</formula>
    </cfRule>
  </conditionalFormatting>
  <conditionalFormatting sqref="O4437">
    <cfRule type="expression" dxfId="1968" priority="8690" stopIfTrue="1">
      <formula>OR($O$4437="F/S",$O$4437="")</formula>
    </cfRule>
    <cfRule type="cellIs" dxfId="1967" priority="8691" stopIfTrue="1" operator="notEqual">
      <formula>0</formula>
    </cfRule>
  </conditionalFormatting>
  <conditionalFormatting sqref="L4449">
    <cfRule type="expression" dxfId="1966" priority="8692" stopIfTrue="1">
      <formula>OR($L$4449="F/S",$L$4449="")</formula>
    </cfRule>
    <cfRule type="cellIs" dxfId="1965" priority="8693" stopIfTrue="1" operator="notEqual">
      <formula>0</formula>
    </cfRule>
  </conditionalFormatting>
  <conditionalFormatting sqref="O4449">
    <cfRule type="expression" dxfId="1964" priority="8694" stopIfTrue="1">
      <formula>OR($O$4449="F/S",$O$4449="")</formula>
    </cfRule>
    <cfRule type="cellIs" dxfId="1963" priority="8695" stopIfTrue="1" operator="notEqual">
      <formula>0</formula>
    </cfRule>
  </conditionalFormatting>
  <conditionalFormatting sqref="L4457">
    <cfRule type="expression" dxfId="1962" priority="8696" stopIfTrue="1">
      <formula>OR($L$4457="F/S",$L$4457="")</formula>
    </cfRule>
    <cfRule type="cellIs" dxfId="1961" priority="8697" stopIfTrue="1" operator="notEqual">
      <formula>0</formula>
    </cfRule>
  </conditionalFormatting>
  <conditionalFormatting sqref="O4457">
    <cfRule type="expression" dxfId="1960" priority="8698" stopIfTrue="1">
      <formula>OR($O$4457="F/S",$O$4457="")</formula>
    </cfRule>
    <cfRule type="cellIs" dxfId="1959" priority="8699" stopIfTrue="1" operator="notEqual">
      <formula>0</formula>
    </cfRule>
  </conditionalFormatting>
  <conditionalFormatting sqref="L4474">
    <cfRule type="expression" dxfId="1958" priority="8700" stopIfTrue="1">
      <formula>OR($L$4474="F/S",$L$4474="")</formula>
    </cfRule>
    <cfRule type="cellIs" dxfId="1957" priority="8701" stopIfTrue="1" operator="notEqual">
      <formula>0</formula>
    </cfRule>
  </conditionalFormatting>
  <conditionalFormatting sqref="O4474">
    <cfRule type="expression" dxfId="1956" priority="8702" stopIfTrue="1">
      <formula>OR($O$4474="F/S",$O$4474="")</formula>
    </cfRule>
    <cfRule type="cellIs" dxfId="1955" priority="8703" stopIfTrue="1" operator="notEqual">
      <formula>0</formula>
    </cfRule>
  </conditionalFormatting>
  <conditionalFormatting sqref="L4360">
    <cfRule type="expression" dxfId="1954" priority="8704" stopIfTrue="1">
      <formula>OR($L$4360="F/S",$L$4360="")</formula>
    </cfRule>
    <cfRule type="cellIs" dxfId="1953" priority="8705" stopIfTrue="1" operator="notEqual">
      <formula>0</formula>
    </cfRule>
  </conditionalFormatting>
  <conditionalFormatting sqref="O4360">
    <cfRule type="expression" dxfId="1952" priority="8706" stopIfTrue="1">
      <formula>OR($O$4360="F/S",$O$4360="")</formula>
    </cfRule>
    <cfRule type="cellIs" dxfId="1951" priority="8707" stopIfTrue="1" operator="notEqual">
      <formula>0</formula>
    </cfRule>
  </conditionalFormatting>
  <conditionalFormatting sqref="L4367">
    <cfRule type="expression" dxfId="1950" priority="8708" stopIfTrue="1">
      <formula>OR($L$4367="F/S",$L$4367="")</formula>
    </cfRule>
    <cfRule type="cellIs" dxfId="1949" priority="8709" stopIfTrue="1" operator="notEqual">
      <formula>0</formula>
    </cfRule>
  </conditionalFormatting>
  <conditionalFormatting sqref="O4367">
    <cfRule type="expression" dxfId="1948" priority="8710" stopIfTrue="1">
      <formula>OR($O$4367="F/S",$O$4367="")</formula>
    </cfRule>
    <cfRule type="cellIs" dxfId="1947" priority="8711" stopIfTrue="1" operator="notEqual">
      <formula>0</formula>
    </cfRule>
  </conditionalFormatting>
  <conditionalFormatting sqref="L4392">
    <cfRule type="expression" dxfId="1946" priority="8712" stopIfTrue="1">
      <formula>OR($L$4392="F/S",$L$4392="")</formula>
    </cfRule>
    <cfRule type="cellIs" dxfId="1945" priority="8713" stopIfTrue="1" operator="notEqual">
      <formula>0</formula>
    </cfRule>
  </conditionalFormatting>
  <conditionalFormatting sqref="O4392">
    <cfRule type="expression" dxfId="1944" priority="8714" stopIfTrue="1">
      <formula>OR($O$4392="F/S",$O$4392="")</formula>
    </cfRule>
    <cfRule type="cellIs" dxfId="1943" priority="8715" stopIfTrue="1" operator="notEqual">
      <formula>0</formula>
    </cfRule>
  </conditionalFormatting>
  <conditionalFormatting sqref="L4413">
    <cfRule type="expression" dxfId="1942" priority="8716" stopIfTrue="1">
      <formula>OR($L$4413="F/S",$L$4413="")</formula>
    </cfRule>
    <cfRule type="cellIs" dxfId="1941" priority="8717" stopIfTrue="1" operator="notEqual">
      <formula>0</formula>
    </cfRule>
  </conditionalFormatting>
  <conditionalFormatting sqref="O4413">
    <cfRule type="expression" dxfId="1940" priority="8718" stopIfTrue="1">
      <formula>OR($O$4413="F/S",$O$4413="")</formula>
    </cfRule>
    <cfRule type="cellIs" dxfId="1939" priority="8719" stopIfTrue="1" operator="notEqual">
      <formula>0</formula>
    </cfRule>
  </conditionalFormatting>
  <conditionalFormatting sqref="L4612">
    <cfRule type="expression" dxfId="1938" priority="8720" stopIfTrue="1">
      <formula>OR($L$4612="F/S",$L$4612="")</formula>
    </cfRule>
    <cfRule type="cellIs" dxfId="1937" priority="8721" stopIfTrue="1" operator="notEqual">
      <formula>0</formula>
    </cfRule>
  </conditionalFormatting>
  <conditionalFormatting sqref="O4612">
    <cfRule type="expression" dxfId="1936" priority="8722" stopIfTrue="1">
      <formula>OR($O$4612="F/S",$O$4612="")</formula>
    </cfRule>
    <cfRule type="cellIs" dxfId="1935" priority="8723" stopIfTrue="1" operator="notEqual">
      <formula>0</formula>
    </cfRule>
  </conditionalFormatting>
  <conditionalFormatting sqref="L4488">
    <cfRule type="expression" dxfId="1934" priority="8724" stopIfTrue="1">
      <formula>OR($L$4488="F/S",$L$4488="")</formula>
    </cfRule>
    <cfRule type="cellIs" dxfId="1933" priority="8725" stopIfTrue="1" operator="notEqual">
      <formula>0</formula>
    </cfRule>
  </conditionalFormatting>
  <conditionalFormatting sqref="O4488">
    <cfRule type="expression" dxfId="1932" priority="8726" stopIfTrue="1">
      <formula>OR($O$4488="F/S",$O$4488="")</formula>
    </cfRule>
    <cfRule type="cellIs" dxfId="1931" priority="8727" stopIfTrue="1" operator="notEqual">
      <formula>0</formula>
    </cfRule>
  </conditionalFormatting>
  <conditionalFormatting sqref="L4498">
    <cfRule type="expression" dxfId="1930" priority="8728" stopIfTrue="1">
      <formula>OR($L$4498="F/S",$L$4498="")</formula>
    </cfRule>
    <cfRule type="cellIs" dxfId="1929" priority="8729" stopIfTrue="1" operator="notEqual">
      <formula>0</formula>
    </cfRule>
  </conditionalFormatting>
  <conditionalFormatting sqref="O4498">
    <cfRule type="expression" dxfId="1928" priority="8730" stopIfTrue="1">
      <formula>OR($O$4498="F/S",$O$4498="")</formula>
    </cfRule>
    <cfRule type="cellIs" dxfId="1927" priority="8731" stopIfTrue="1" operator="notEqual">
      <formula>0</formula>
    </cfRule>
  </conditionalFormatting>
  <conditionalFormatting sqref="L4507">
    <cfRule type="expression" dxfId="1926" priority="8732" stopIfTrue="1">
      <formula>OR($L$4507="F/S",$L$4507="")</formula>
    </cfRule>
    <cfRule type="cellIs" dxfId="1925" priority="8733" stopIfTrue="1" operator="notEqual">
      <formula>0</formula>
    </cfRule>
  </conditionalFormatting>
  <conditionalFormatting sqref="O4507">
    <cfRule type="expression" dxfId="1924" priority="8734" stopIfTrue="1">
      <formula>OR($O$4507="F/S",$O$4507="")</formula>
    </cfRule>
    <cfRule type="cellIs" dxfId="1923" priority="8735" stopIfTrue="1" operator="notEqual">
      <formula>0</formula>
    </cfRule>
  </conditionalFormatting>
  <conditionalFormatting sqref="L4516">
    <cfRule type="expression" dxfId="1922" priority="8736" stopIfTrue="1">
      <formula>OR($L$4516="F/S",$L$4516="")</formula>
    </cfRule>
    <cfRule type="cellIs" dxfId="1921" priority="8737" stopIfTrue="1" operator="notEqual">
      <formula>0</formula>
    </cfRule>
  </conditionalFormatting>
  <conditionalFormatting sqref="O4516">
    <cfRule type="expression" dxfId="1920" priority="8738" stopIfTrue="1">
      <formula>OR($O$4516="F/S",$O$4516="")</formula>
    </cfRule>
    <cfRule type="cellIs" dxfId="1919" priority="8739" stopIfTrue="1" operator="notEqual">
      <formula>0</formula>
    </cfRule>
  </conditionalFormatting>
  <conditionalFormatting sqref="L4540">
    <cfRule type="expression" dxfId="1918" priority="8740" stopIfTrue="1">
      <formula>OR($L$4540="F/S",$L$4540="")</formula>
    </cfRule>
    <cfRule type="cellIs" dxfId="1917" priority="8741" stopIfTrue="1" operator="notEqual">
      <formula>0</formula>
    </cfRule>
  </conditionalFormatting>
  <conditionalFormatting sqref="O4540">
    <cfRule type="expression" dxfId="1916" priority="8742" stopIfTrue="1">
      <formula>OR($O$4540="F/S",$O$4540="")</formula>
    </cfRule>
    <cfRule type="cellIs" dxfId="1915" priority="8743" stopIfTrue="1" operator="notEqual">
      <formula>0</formula>
    </cfRule>
  </conditionalFormatting>
  <conditionalFormatting sqref="L4563">
    <cfRule type="expression" dxfId="1914" priority="8744" stopIfTrue="1">
      <formula>OR($L$4563="F/S",$L$4563="")</formula>
    </cfRule>
    <cfRule type="cellIs" dxfId="1913" priority="8745" stopIfTrue="1" operator="notEqual">
      <formula>0</formula>
    </cfRule>
  </conditionalFormatting>
  <conditionalFormatting sqref="O4563">
    <cfRule type="expression" dxfId="1912" priority="8746" stopIfTrue="1">
      <formula>OR($O$4563="F/S",$O$4563="")</formula>
    </cfRule>
    <cfRule type="cellIs" dxfId="1911" priority="8747" stopIfTrue="1" operator="notEqual">
      <formula>0</formula>
    </cfRule>
  </conditionalFormatting>
  <conditionalFormatting sqref="L4582">
    <cfRule type="expression" dxfId="1910" priority="8748" stopIfTrue="1">
      <formula>OR($L$4582="F/S",$L$4582="")</formula>
    </cfRule>
    <cfRule type="cellIs" dxfId="1909" priority="8749" stopIfTrue="1" operator="notEqual">
      <formula>0</formula>
    </cfRule>
  </conditionalFormatting>
  <conditionalFormatting sqref="O4582">
    <cfRule type="expression" dxfId="1908" priority="8750" stopIfTrue="1">
      <formula>OR($O$4582="F/S",$O$4582="")</formula>
    </cfRule>
    <cfRule type="cellIs" dxfId="1907" priority="8751" stopIfTrue="1" operator="notEqual">
      <formula>0</formula>
    </cfRule>
  </conditionalFormatting>
  <conditionalFormatting sqref="L4597">
    <cfRule type="expression" dxfId="1906" priority="8752" stopIfTrue="1">
      <formula>OR($L$4597="F/S",$L$4597="")</formula>
    </cfRule>
    <cfRule type="cellIs" dxfId="1905" priority="8753" stopIfTrue="1" operator="notEqual">
      <formula>0</formula>
    </cfRule>
  </conditionalFormatting>
  <conditionalFormatting sqref="O4597">
    <cfRule type="expression" dxfId="1904" priority="8754" stopIfTrue="1">
      <formula>OR($O$4597="F/S",$O$4597="")</formula>
    </cfRule>
    <cfRule type="cellIs" dxfId="1903" priority="8755" stopIfTrue="1" operator="notEqual">
      <formula>0</formula>
    </cfRule>
  </conditionalFormatting>
  <conditionalFormatting sqref="L4850">
    <cfRule type="expression" dxfId="1902" priority="8756" stopIfTrue="1">
      <formula>OR($L$4850="F/S",$L$4850="")</formula>
    </cfRule>
    <cfRule type="cellIs" dxfId="1901" priority="8757" stopIfTrue="1" operator="notEqual">
      <formula>0</formula>
    </cfRule>
  </conditionalFormatting>
  <conditionalFormatting sqref="O4850">
    <cfRule type="expression" dxfId="1900" priority="8758" stopIfTrue="1">
      <formula>OR($O$4850="F/S",$O$4850="")</formula>
    </cfRule>
    <cfRule type="cellIs" dxfId="1899" priority="8759" stopIfTrue="1" operator="notEqual">
      <formula>0</formula>
    </cfRule>
  </conditionalFormatting>
  <conditionalFormatting sqref="L4823">
    <cfRule type="expression" dxfId="1898" priority="8760" stopIfTrue="1">
      <formula>OR($L$4823="F/S",$L$4823="")</formula>
    </cfRule>
    <cfRule type="cellIs" dxfId="1897" priority="8761" stopIfTrue="1" operator="notEqual">
      <formula>0</formula>
    </cfRule>
  </conditionalFormatting>
  <conditionalFormatting sqref="O4823">
    <cfRule type="expression" dxfId="1896" priority="8762" stopIfTrue="1">
      <formula>OR($O$4823="F/S",$O$4823="")</formula>
    </cfRule>
    <cfRule type="cellIs" dxfId="1895" priority="8763" stopIfTrue="1" operator="notEqual">
      <formula>0</formula>
    </cfRule>
  </conditionalFormatting>
  <conditionalFormatting sqref="L4801">
    <cfRule type="expression" dxfId="1894" priority="8764" stopIfTrue="1">
      <formula>OR($L$4801="F/S",$L$4801="")</formula>
    </cfRule>
    <cfRule type="cellIs" dxfId="1893" priority="8765" stopIfTrue="1" operator="notEqual">
      <formula>0</formula>
    </cfRule>
  </conditionalFormatting>
  <conditionalFormatting sqref="O4801">
    <cfRule type="expression" dxfId="1892" priority="8766" stopIfTrue="1">
      <formula>OR($O$4801="F/S",$O$4801="")</formula>
    </cfRule>
    <cfRule type="cellIs" dxfId="1891" priority="8767" stopIfTrue="1" operator="notEqual">
      <formula>0</formula>
    </cfRule>
  </conditionalFormatting>
  <conditionalFormatting sqref="L4900">
    <cfRule type="expression" dxfId="1890" priority="8768" stopIfTrue="1">
      <formula>OR($L$4900="F/S",$L$4900="")</formula>
    </cfRule>
    <cfRule type="cellIs" dxfId="1889" priority="8769" stopIfTrue="1" operator="notEqual">
      <formula>0</formula>
    </cfRule>
  </conditionalFormatting>
  <conditionalFormatting sqref="O4900">
    <cfRule type="expression" dxfId="1888" priority="8770" stopIfTrue="1">
      <formula>OR($O$4900="F/S",$O$4900="")</formula>
    </cfRule>
    <cfRule type="cellIs" dxfId="1887" priority="8771" stopIfTrue="1" operator="notEqual">
      <formula>0</formula>
    </cfRule>
  </conditionalFormatting>
  <conditionalFormatting sqref="L4776">
    <cfRule type="expression" dxfId="1886" priority="8772" stopIfTrue="1">
      <formula>OR($L$4776="F/S",$L$4776="")</formula>
    </cfRule>
    <cfRule type="cellIs" dxfId="1885" priority="8773" stopIfTrue="1" operator="notEqual">
      <formula>0</formula>
    </cfRule>
  </conditionalFormatting>
  <conditionalFormatting sqref="O4776">
    <cfRule type="expression" dxfId="1884" priority="8774" stopIfTrue="1">
      <formula>OR($O$4776="F/S",$O$4776="")</formula>
    </cfRule>
    <cfRule type="cellIs" dxfId="1883" priority="8775" stopIfTrue="1" operator="notEqual">
      <formula>0</formula>
    </cfRule>
  </conditionalFormatting>
  <conditionalFormatting sqref="L4622">
    <cfRule type="expression" dxfId="1882" priority="8776" stopIfTrue="1">
      <formula>OR($L$4622="F/S",$L$4622="")</formula>
    </cfRule>
    <cfRule type="cellIs" dxfId="1881" priority="8777" stopIfTrue="1" operator="notEqual">
      <formula>0</formula>
    </cfRule>
  </conditionalFormatting>
  <conditionalFormatting sqref="O4622">
    <cfRule type="expression" dxfId="1880" priority="8778" stopIfTrue="1">
      <formula>OR($O$4622="F/S",$O$4622="")</formula>
    </cfRule>
    <cfRule type="cellIs" dxfId="1879" priority="8779" stopIfTrue="1" operator="notEqual">
      <formula>0</formula>
    </cfRule>
  </conditionalFormatting>
  <conditionalFormatting sqref="L4633">
    <cfRule type="expression" dxfId="1878" priority="8780" stopIfTrue="1">
      <formula>OR($L$4633="F/S",$L$4633="")</formula>
    </cfRule>
    <cfRule type="cellIs" dxfId="1877" priority="8781" stopIfTrue="1" operator="notEqual">
      <formula>0</formula>
    </cfRule>
  </conditionalFormatting>
  <conditionalFormatting sqref="O4633">
    <cfRule type="expression" dxfId="1876" priority="8782" stopIfTrue="1">
      <formula>OR($O$4633="F/S",$O$4633="")</formula>
    </cfRule>
    <cfRule type="cellIs" dxfId="1875" priority="8783" stopIfTrue="1" operator="notEqual">
      <formula>0</formula>
    </cfRule>
  </conditionalFormatting>
  <conditionalFormatting sqref="L4652">
    <cfRule type="expression" dxfId="1874" priority="8784" stopIfTrue="1">
      <formula>OR($L$4652="F/S",$L$4652="")</formula>
    </cfRule>
    <cfRule type="cellIs" dxfId="1873" priority="8785" stopIfTrue="1" operator="notEqual">
      <formula>0</formula>
    </cfRule>
  </conditionalFormatting>
  <conditionalFormatting sqref="O4652">
    <cfRule type="expression" dxfId="1872" priority="8786" stopIfTrue="1">
      <formula>OR($O$4652="F/S",$O$4652="")</formula>
    </cfRule>
    <cfRule type="cellIs" dxfId="1871" priority="8787" stopIfTrue="1" operator="notEqual">
      <formula>0</formula>
    </cfRule>
  </conditionalFormatting>
  <conditionalFormatting sqref="L4663">
    <cfRule type="expression" dxfId="1870" priority="8788" stopIfTrue="1">
      <formula>OR($L$4663="F/S",$L$4663="")</formula>
    </cfRule>
    <cfRule type="cellIs" dxfId="1869" priority="8789" stopIfTrue="1" operator="notEqual">
      <formula>0</formula>
    </cfRule>
  </conditionalFormatting>
  <conditionalFormatting sqref="O4663">
    <cfRule type="expression" dxfId="1868" priority="8790" stopIfTrue="1">
      <formula>OR($O$4663="F/S",$O$4663="")</formula>
    </cfRule>
    <cfRule type="cellIs" dxfId="1867" priority="8791" stopIfTrue="1" operator="notEqual">
      <formula>0</formula>
    </cfRule>
  </conditionalFormatting>
  <conditionalFormatting sqref="L4683">
    <cfRule type="expression" dxfId="1866" priority="8792" stopIfTrue="1">
      <formula>OR($L$4683="F/S",$L$4683="")</formula>
    </cfRule>
    <cfRule type="cellIs" dxfId="1865" priority="8793" stopIfTrue="1" operator="notEqual">
      <formula>0</formula>
    </cfRule>
  </conditionalFormatting>
  <conditionalFormatting sqref="O4683">
    <cfRule type="expression" dxfId="1864" priority="8794" stopIfTrue="1">
      <formula>OR($O$4683="F/S",$O$4683="")</formula>
    </cfRule>
    <cfRule type="cellIs" dxfId="1863" priority="8795" stopIfTrue="1" operator="notEqual">
      <formula>0</formula>
    </cfRule>
  </conditionalFormatting>
  <conditionalFormatting sqref="L4694">
    <cfRule type="expression" dxfId="1862" priority="8796" stopIfTrue="1">
      <formula>OR($L$4694="F/S",$L$4694="")</formula>
    </cfRule>
    <cfRule type="cellIs" dxfId="1861" priority="8797" stopIfTrue="1" operator="notEqual">
      <formula>0</formula>
    </cfRule>
  </conditionalFormatting>
  <conditionalFormatting sqref="O4694">
    <cfRule type="expression" dxfId="1860" priority="8798" stopIfTrue="1">
      <formula>OR($O$4694="F/S",$O$4694="")</formula>
    </cfRule>
    <cfRule type="cellIs" dxfId="1859" priority="8799" stopIfTrue="1" operator="notEqual">
      <formula>0</formula>
    </cfRule>
  </conditionalFormatting>
  <conditionalFormatting sqref="L4714">
    <cfRule type="expression" dxfId="1858" priority="8800" stopIfTrue="1">
      <formula>OR($L$4714="F/S",$L$4714="")</formula>
    </cfRule>
    <cfRule type="cellIs" dxfId="1857" priority="8801" stopIfTrue="1" operator="notEqual">
      <formula>0</formula>
    </cfRule>
  </conditionalFormatting>
  <conditionalFormatting sqref="O4714">
    <cfRule type="expression" dxfId="1856" priority="8802" stopIfTrue="1">
      <formula>OR($O$4714="F/S",$O$4714="")</formula>
    </cfRule>
    <cfRule type="cellIs" dxfId="1855" priority="8803" stopIfTrue="1" operator="notEqual">
      <formula>0</formula>
    </cfRule>
  </conditionalFormatting>
  <conditionalFormatting sqref="L4750">
    <cfRule type="expression" dxfId="1854" priority="8804" stopIfTrue="1">
      <formula>OR($L$4750="F/S",$L$4750="")</formula>
    </cfRule>
    <cfRule type="cellIs" dxfId="1853" priority="8805" stopIfTrue="1" operator="notEqual">
      <formula>0</formula>
    </cfRule>
  </conditionalFormatting>
  <conditionalFormatting sqref="O4750">
    <cfRule type="expression" dxfId="1852" priority="8806" stopIfTrue="1">
      <formula>OR($O$4750="F/S",$O$4750="")</formula>
    </cfRule>
    <cfRule type="cellIs" dxfId="1851" priority="8807" stopIfTrue="1" operator="notEqual">
      <formula>0</formula>
    </cfRule>
  </conditionalFormatting>
  <conditionalFormatting sqref="L4765">
    <cfRule type="expression" dxfId="1850" priority="8808" stopIfTrue="1">
      <formula>OR($L$4765="F/S",$L$4765="")</formula>
    </cfRule>
    <cfRule type="cellIs" dxfId="1849" priority="8809" stopIfTrue="1" operator="notEqual">
      <formula>0</formula>
    </cfRule>
  </conditionalFormatting>
  <conditionalFormatting sqref="O4765">
    <cfRule type="expression" dxfId="1848" priority="8810" stopIfTrue="1">
      <formula>OR($O$4765="F/S",$O$4765="")</formula>
    </cfRule>
    <cfRule type="cellIs" dxfId="1847" priority="8811" stopIfTrue="1" operator="notEqual">
      <formula>0</formula>
    </cfRule>
  </conditionalFormatting>
  <conditionalFormatting sqref="L4725">
    <cfRule type="expression" dxfId="1846" priority="8812" stopIfTrue="1">
      <formula>OR($L$4725="F/S",$L$4725="")</formula>
    </cfRule>
    <cfRule type="cellIs" dxfId="1845" priority="8813" stopIfTrue="1" operator="notEqual">
      <formula>0</formula>
    </cfRule>
  </conditionalFormatting>
  <conditionalFormatting sqref="O4725">
    <cfRule type="expression" dxfId="1844" priority="8814" stopIfTrue="1">
      <formula>OR($O$4725="F/S",$O$4725="")</formula>
    </cfRule>
    <cfRule type="cellIs" dxfId="1843" priority="8815" stopIfTrue="1" operator="notEqual">
      <formula>0</formula>
    </cfRule>
  </conditionalFormatting>
  <conditionalFormatting sqref="L4878">
    <cfRule type="expression" dxfId="1842" priority="8816" stopIfTrue="1">
      <formula>OR($L$4878="F/S",$L$4878="")</formula>
    </cfRule>
    <cfRule type="cellIs" dxfId="1841" priority="8817" stopIfTrue="1" operator="notEqual">
      <formula>0</formula>
    </cfRule>
  </conditionalFormatting>
  <conditionalFormatting sqref="O4878">
    <cfRule type="expression" dxfId="1840" priority="8818" stopIfTrue="1">
      <formula>OR($O$4878="F/S",$O$4878="")</formula>
    </cfRule>
    <cfRule type="cellIs" dxfId="1839" priority="8819" stopIfTrue="1" operator="notEqual">
      <formula>0</formula>
    </cfRule>
  </conditionalFormatting>
  <conditionalFormatting sqref="L4864">
    <cfRule type="expression" dxfId="1838" priority="8820" stopIfTrue="1">
      <formula>OR($L$4864="F/S",$L$4864="")</formula>
    </cfRule>
    <cfRule type="cellIs" dxfId="1837" priority="8821" stopIfTrue="1" operator="notEqual">
      <formula>0</formula>
    </cfRule>
  </conditionalFormatting>
  <conditionalFormatting sqref="O4864">
    <cfRule type="expression" dxfId="1836" priority="8822" stopIfTrue="1">
      <formula>OR($O$4864="F/S",$O$4864="")</formula>
    </cfRule>
    <cfRule type="cellIs" dxfId="1835" priority="8823" stopIfTrue="1" operator="notEqual">
      <formula>0</formula>
    </cfRule>
  </conditionalFormatting>
  <conditionalFormatting sqref="L4915">
    <cfRule type="expression" dxfId="1834" priority="8824" stopIfTrue="1">
      <formula>OR($L$4915="F/S",$L$4915="")</formula>
    </cfRule>
    <cfRule type="cellIs" dxfId="1833" priority="8825" stopIfTrue="1" operator="notEqual">
      <formula>0</formula>
    </cfRule>
  </conditionalFormatting>
  <conditionalFormatting sqref="O4915">
    <cfRule type="expression" dxfId="1832" priority="8826" stopIfTrue="1">
      <formula>OR($O$4915="F/S",$O$4915="")</formula>
    </cfRule>
    <cfRule type="cellIs" dxfId="1831" priority="8827" stopIfTrue="1" operator="notEqual">
      <formula>0</formula>
    </cfRule>
  </conditionalFormatting>
  <conditionalFormatting sqref="L4928">
    <cfRule type="expression" dxfId="1830" priority="8828" stopIfTrue="1">
      <formula>OR($L$4928="F/S",$L$4928="")</formula>
    </cfRule>
    <cfRule type="cellIs" dxfId="1829" priority="8829" stopIfTrue="1" operator="notEqual">
      <formula>0</formula>
    </cfRule>
  </conditionalFormatting>
  <conditionalFormatting sqref="O4928">
    <cfRule type="expression" dxfId="1828" priority="8830" stopIfTrue="1">
      <formula>OR($O$4928="F/S",$O$4928="")</formula>
    </cfRule>
    <cfRule type="cellIs" dxfId="1827" priority="8831" stopIfTrue="1" operator="notEqual">
      <formula>0</formula>
    </cfRule>
  </conditionalFormatting>
  <conditionalFormatting sqref="L4946">
    <cfRule type="expression" dxfId="1826" priority="8832" stopIfTrue="1">
      <formula>OR($L$4946="F/S",$L$4946="")</formula>
    </cfRule>
    <cfRule type="cellIs" dxfId="1825" priority="8833" stopIfTrue="1" operator="notEqual">
      <formula>0</formula>
    </cfRule>
  </conditionalFormatting>
  <conditionalFormatting sqref="O4946">
    <cfRule type="expression" dxfId="1824" priority="8834" stopIfTrue="1">
      <formula>OR($O$4946="F/S",$O$4946="")</formula>
    </cfRule>
    <cfRule type="cellIs" dxfId="1823" priority="8835" stopIfTrue="1" operator="notEqual">
      <formula>0</formula>
    </cfRule>
  </conditionalFormatting>
  <conditionalFormatting sqref="L4959">
    <cfRule type="expression" dxfId="1822" priority="8836" stopIfTrue="1">
      <formula>OR($L$4959="F/S",$L$4959="")</formula>
    </cfRule>
    <cfRule type="cellIs" dxfId="1821" priority="8837" stopIfTrue="1" operator="notEqual">
      <formula>0</formula>
    </cfRule>
  </conditionalFormatting>
  <conditionalFormatting sqref="O4959">
    <cfRule type="expression" dxfId="1820" priority="8838" stopIfTrue="1">
      <formula>OR($O$4959="F/S",$O$4959="")</formula>
    </cfRule>
    <cfRule type="cellIs" dxfId="1819" priority="8839" stopIfTrue="1" operator="notEqual">
      <formula>0</formula>
    </cfRule>
  </conditionalFormatting>
  <conditionalFormatting sqref="L4967">
    <cfRule type="expression" dxfId="1818" priority="8840" stopIfTrue="1">
      <formula>OR($L$4967="F/S",$L$4967="")</formula>
    </cfRule>
    <cfRule type="cellIs" dxfId="1817" priority="8841" stopIfTrue="1" operator="notEqual">
      <formula>0</formula>
    </cfRule>
  </conditionalFormatting>
  <conditionalFormatting sqref="O4967">
    <cfRule type="expression" dxfId="1816" priority="8842" stopIfTrue="1">
      <formula>OR($O$4967="F/S",$O$4967="")</formula>
    </cfRule>
    <cfRule type="cellIs" dxfId="1815" priority="8843" stopIfTrue="1" operator="notEqual">
      <formula>0</formula>
    </cfRule>
  </conditionalFormatting>
  <conditionalFormatting sqref="L5870">
    <cfRule type="expression" dxfId="1814" priority="8844" stopIfTrue="1">
      <formula>OR($L$5870="F/S",$L$5870="")</formula>
    </cfRule>
    <cfRule type="cellIs" dxfId="1813" priority="8845" stopIfTrue="1" operator="notEqual">
      <formula>0</formula>
    </cfRule>
  </conditionalFormatting>
  <conditionalFormatting sqref="O5870">
    <cfRule type="expression" dxfId="1812" priority="8846" stopIfTrue="1">
      <formula>OR($O$5870="F/S",$O$5870="")</formula>
    </cfRule>
    <cfRule type="cellIs" dxfId="1811" priority="8847" stopIfTrue="1" operator="notEqual">
      <formula>0</formula>
    </cfRule>
  </conditionalFormatting>
  <conditionalFormatting sqref="L5022">
    <cfRule type="expression" dxfId="1810" priority="8848" stopIfTrue="1">
      <formula>OR($L$5022="F/S",$L$5022="")</formula>
    </cfRule>
    <cfRule type="cellIs" dxfId="1809" priority="8849" stopIfTrue="1" operator="notEqual">
      <formula>0</formula>
    </cfRule>
  </conditionalFormatting>
  <conditionalFormatting sqref="O5022">
    <cfRule type="expression" dxfId="1808" priority="8850" stopIfTrue="1">
      <formula>OR($O$5022="F/S",$O$5022="")</formula>
    </cfRule>
    <cfRule type="cellIs" dxfId="1807" priority="8851" stopIfTrue="1" operator="notEqual">
      <formula>0</formula>
    </cfRule>
  </conditionalFormatting>
  <conditionalFormatting sqref="L5881">
    <cfRule type="expression" dxfId="1806" priority="8852" stopIfTrue="1">
      <formula>OR($L$5881="F/S",$L$5881="")</formula>
    </cfRule>
    <cfRule type="cellIs" dxfId="1805" priority="8853" stopIfTrue="1" operator="notEqual">
      <formula>0</formula>
    </cfRule>
  </conditionalFormatting>
  <conditionalFormatting sqref="O5881">
    <cfRule type="expression" dxfId="1804" priority="8854" stopIfTrue="1">
      <formula>OR($O$5881="F/S",$O$5881="")</formula>
    </cfRule>
    <cfRule type="cellIs" dxfId="1803" priority="8855" stopIfTrue="1" operator="notEqual">
      <formula>0</formula>
    </cfRule>
  </conditionalFormatting>
  <conditionalFormatting sqref="L5892">
    <cfRule type="expression" dxfId="1802" priority="8856" stopIfTrue="1">
      <formula>OR($L$5892="F/S",$L$5892="")</formula>
    </cfRule>
    <cfRule type="cellIs" dxfId="1801" priority="8857" stopIfTrue="1" operator="notEqual">
      <formula>0</formula>
    </cfRule>
  </conditionalFormatting>
  <conditionalFormatting sqref="O5892">
    <cfRule type="expression" dxfId="1800" priority="8858" stopIfTrue="1">
      <formula>OR($O$5892="F/S",$O$5892="")</formula>
    </cfRule>
    <cfRule type="cellIs" dxfId="1799" priority="8859" stopIfTrue="1" operator="notEqual">
      <formula>0</formula>
    </cfRule>
  </conditionalFormatting>
  <conditionalFormatting sqref="L5903">
    <cfRule type="expression" dxfId="1798" priority="8860" stopIfTrue="1">
      <formula>OR($L$5903="F/S",$L$5903="")</formula>
    </cfRule>
    <cfRule type="cellIs" dxfId="1797" priority="8861" stopIfTrue="1" operator="notEqual">
      <formula>0</formula>
    </cfRule>
  </conditionalFormatting>
  <conditionalFormatting sqref="O5903">
    <cfRule type="expression" dxfId="1796" priority="8862" stopIfTrue="1">
      <formula>OR($O$5903="F/S",$O$5903="")</formula>
    </cfRule>
    <cfRule type="cellIs" dxfId="1795" priority="8863" stopIfTrue="1" operator="notEqual">
      <formula>0</formula>
    </cfRule>
  </conditionalFormatting>
  <conditionalFormatting sqref="L5914">
    <cfRule type="expression" dxfId="1794" priority="8864" stopIfTrue="1">
      <formula>OR($L$5914="F/S",$L$5914="")</formula>
    </cfRule>
    <cfRule type="cellIs" dxfId="1793" priority="8865" stopIfTrue="1" operator="notEqual">
      <formula>0</formula>
    </cfRule>
  </conditionalFormatting>
  <conditionalFormatting sqref="O5914">
    <cfRule type="expression" dxfId="1792" priority="8866" stopIfTrue="1">
      <formula>OR($O$5914="F/S",$O$5914="")</formula>
    </cfRule>
    <cfRule type="cellIs" dxfId="1791" priority="8867" stopIfTrue="1" operator="notEqual">
      <formula>0</formula>
    </cfRule>
  </conditionalFormatting>
  <conditionalFormatting sqref="L5038">
    <cfRule type="expression" dxfId="1790" priority="8868" stopIfTrue="1">
      <formula>OR($L$5038="F/S",$L$5038="")</formula>
    </cfRule>
    <cfRule type="cellIs" dxfId="1789" priority="8869" stopIfTrue="1" operator="notEqual">
      <formula>0</formula>
    </cfRule>
  </conditionalFormatting>
  <conditionalFormatting sqref="O5038">
    <cfRule type="expression" dxfId="1788" priority="8870" stopIfTrue="1">
      <formula>OR($O$5038="F/S",$O$5038="")</formula>
    </cfRule>
    <cfRule type="cellIs" dxfId="1787" priority="8871" stopIfTrue="1" operator="notEqual">
      <formula>0</formula>
    </cfRule>
  </conditionalFormatting>
  <conditionalFormatting sqref="L5925">
    <cfRule type="expression" dxfId="1786" priority="8872" stopIfTrue="1">
      <formula>OR($L$5925="F/S",$L$5925="")</formula>
    </cfRule>
    <cfRule type="cellIs" dxfId="1785" priority="8873" stopIfTrue="1" operator="notEqual">
      <formula>0</formula>
    </cfRule>
  </conditionalFormatting>
  <conditionalFormatting sqref="O5925">
    <cfRule type="expression" dxfId="1784" priority="8874" stopIfTrue="1">
      <formula>OR($O$5925="F/S",$O$5925="")</formula>
    </cfRule>
    <cfRule type="cellIs" dxfId="1783" priority="8875" stopIfTrue="1" operator="notEqual">
      <formula>0</formula>
    </cfRule>
  </conditionalFormatting>
  <conditionalFormatting sqref="L5936">
    <cfRule type="expression" dxfId="1782" priority="8876" stopIfTrue="1">
      <formula>OR($L$5936="F/S",$L$5936="")</formula>
    </cfRule>
    <cfRule type="cellIs" dxfId="1781" priority="8877" stopIfTrue="1" operator="notEqual">
      <formula>0</formula>
    </cfRule>
  </conditionalFormatting>
  <conditionalFormatting sqref="O5936">
    <cfRule type="expression" dxfId="1780" priority="8878" stopIfTrue="1">
      <formula>OR($O$5936="F/S",$O$5936="")</formula>
    </cfRule>
    <cfRule type="cellIs" dxfId="1779" priority="8879" stopIfTrue="1" operator="notEqual">
      <formula>0</formula>
    </cfRule>
  </conditionalFormatting>
  <conditionalFormatting sqref="L5947">
    <cfRule type="expression" dxfId="1778" priority="8880" stopIfTrue="1">
      <formula>OR($L$5947="F/S",$L$5947="")</formula>
    </cfRule>
    <cfRule type="cellIs" dxfId="1777" priority="8881" stopIfTrue="1" operator="notEqual">
      <formula>0</formula>
    </cfRule>
  </conditionalFormatting>
  <conditionalFormatting sqref="O5947">
    <cfRule type="expression" dxfId="1776" priority="8882" stopIfTrue="1">
      <formula>OR($O$5947="F/S",$O$5947="")</formula>
    </cfRule>
    <cfRule type="cellIs" dxfId="1775" priority="8883" stopIfTrue="1" operator="notEqual">
      <formula>0</formula>
    </cfRule>
  </conditionalFormatting>
  <conditionalFormatting sqref="L5958">
    <cfRule type="expression" dxfId="1774" priority="8884" stopIfTrue="1">
      <formula>OR($L$5958="F/S",$L$5958="")</formula>
    </cfRule>
    <cfRule type="cellIs" dxfId="1773" priority="8885" stopIfTrue="1" operator="notEqual">
      <formula>0</formula>
    </cfRule>
  </conditionalFormatting>
  <conditionalFormatting sqref="O5958">
    <cfRule type="expression" dxfId="1772" priority="8886" stopIfTrue="1">
      <formula>OR($O$5958="F/S",$O$5958="")</formula>
    </cfRule>
    <cfRule type="cellIs" dxfId="1771" priority="8887" stopIfTrue="1" operator="notEqual">
      <formula>0</formula>
    </cfRule>
  </conditionalFormatting>
  <conditionalFormatting sqref="L5054">
    <cfRule type="expression" dxfId="1770" priority="8888" stopIfTrue="1">
      <formula>OR($L$5054="F/S",$L$5054="")</formula>
    </cfRule>
    <cfRule type="cellIs" dxfId="1769" priority="8889" stopIfTrue="1" operator="notEqual">
      <formula>0</formula>
    </cfRule>
  </conditionalFormatting>
  <conditionalFormatting sqref="O5054">
    <cfRule type="expression" dxfId="1768" priority="8890" stopIfTrue="1">
      <formula>OR($O$5054="F/S",$O$5054="")</formula>
    </cfRule>
    <cfRule type="cellIs" dxfId="1767" priority="8891" stopIfTrue="1" operator="notEqual">
      <formula>0</formula>
    </cfRule>
  </conditionalFormatting>
  <conditionalFormatting sqref="L5977">
    <cfRule type="expression" dxfId="1766" priority="8892" stopIfTrue="1">
      <formula>OR($L$5977="F/S",$L$5977="")</formula>
    </cfRule>
    <cfRule type="cellIs" dxfId="1765" priority="8893" stopIfTrue="1" operator="notEqual">
      <formula>0</formula>
    </cfRule>
  </conditionalFormatting>
  <conditionalFormatting sqref="O5977">
    <cfRule type="expression" dxfId="1764" priority="8894" stopIfTrue="1">
      <formula>OR($O$5977="F/S",$O$5977="")</formula>
    </cfRule>
    <cfRule type="cellIs" dxfId="1763" priority="8895" stopIfTrue="1" operator="notEqual">
      <formula>0</formula>
    </cfRule>
  </conditionalFormatting>
  <conditionalFormatting sqref="L5998">
    <cfRule type="expression" dxfId="1762" priority="8896" stopIfTrue="1">
      <formula>OR($L$5998="F/S",$L$5998="")</formula>
    </cfRule>
    <cfRule type="cellIs" dxfId="1761" priority="8897" stopIfTrue="1" operator="notEqual">
      <formula>0</formula>
    </cfRule>
  </conditionalFormatting>
  <conditionalFormatting sqref="O5998">
    <cfRule type="expression" dxfId="1760" priority="8898" stopIfTrue="1">
      <formula>OR($O$5998="F/S",$O$5998="")</formula>
    </cfRule>
    <cfRule type="cellIs" dxfId="1759" priority="8899" stopIfTrue="1" operator="notEqual">
      <formula>0</formula>
    </cfRule>
  </conditionalFormatting>
  <conditionalFormatting sqref="L5065">
    <cfRule type="expression" dxfId="1758" priority="8900" stopIfTrue="1">
      <formula>OR($L$5065="F/S",$L$5065="")</formula>
    </cfRule>
    <cfRule type="cellIs" dxfId="1757" priority="8901" stopIfTrue="1" operator="notEqual">
      <formula>0</formula>
    </cfRule>
  </conditionalFormatting>
  <conditionalFormatting sqref="O5065">
    <cfRule type="expression" dxfId="1756" priority="8902" stopIfTrue="1">
      <formula>OR($O$5065="F/S",$O$5065="")</formula>
    </cfRule>
    <cfRule type="cellIs" dxfId="1755" priority="8903" stopIfTrue="1" operator="notEqual">
      <formula>0</formula>
    </cfRule>
  </conditionalFormatting>
  <conditionalFormatting sqref="L6009">
    <cfRule type="expression" dxfId="1754" priority="8904" stopIfTrue="1">
      <formula>OR($L$6009="F/S",$L$6009="")</formula>
    </cfRule>
    <cfRule type="cellIs" dxfId="1753" priority="8905" stopIfTrue="1" operator="notEqual">
      <formula>0</formula>
    </cfRule>
  </conditionalFormatting>
  <conditionalFormatting sqref="O6009">
    <cfRule type="expression" dxfId="1752" priority="8906" stopIfTrue="1">
      <formula>OR($O$6009="F/S",$O$6009="")</formula>
    </cfRule>
    <cfRule type="cellIs" dxfId="1751" priority="8907" stopIfTrue="1" operator="notEqual">
      <formula>0</formula>
    </cfRule>
  </conditionalFormatting>
  <conditionalFormatting sqref="L5076">
    <cfRule type="expression" dxfId="1750" priority="8908" stopIfTrue="1">
      <formula>OR($L$5076="F/S",$L$5076="")</formula>
    </cfRule>
    <cfRule type="cellIs" dxfId="1749" priority="8909" stopIfTrue="1" operator="notEqual">
      <formula>0</formula>
    </cfRule>
  </conditionalFormatting>
  <conditionalFormatting sqref="O5076">
    <cfRule type="expression" dxfId="1748" priority="8910" stopIfTrue="1">
      <formula>OR($O$5076="F/S",$O$5076="")</formula>
    </cfRule>
    <cfRule type="cellIs" dxfId="1747" priority="8911" stopIfTrue="1" operator="notEqual">
      <formula>0</formula>
    </cfRule>
  </conditionalFormatting>
  <conditionalFormatting sqref="L6021">
    <cfRule type="expression" dxfId="1746" priority="8912" stopIfTrue="1">
      <formula>OR($L$6021="F/S",$L$6021="")</formula>
    </cfRule>
    <cfRule type="cellIs" dxfId="1745" priority="8913" stopIfTrue="1" operator="notEqual">
      <formula>0</formula>
    </cfRule>
  </conditionalFormatting>
  <conditionalFormatting sqref="O6021">
    <cfRule type="expression" dxfId="1744" priority="8914" stopIfTrue="1">
      <formula>OR($O$6021="F/S",$O$6021="")</formula>
    </cfRule>
    <cfRule type="cellIs" dxfId="1743" priority="8915" stopIfTrue="1" operator="notEqual">
      <formula>0</formula>
    </cfRule>
  </conditionalFormatting>
  <conditionalFormatting sqref="L6033">
    <cfRule type="expression" dxfId="1742" priority="8916" stopIfTrue="1">
      <formula>OR($L$6033="F/S",$L$6033="")</formula>
    </cfRule>
    <cfRule type="cellIs" dxfId="1741" priority="8917" stopIfTrue="1" operator="notEqual">
      <formula>0</formula>
    </cfRule>
  </conditionalFormatting>
  <conditionalFormatting sqref="O6033">
    <cfRule type="expression" dxfId="1740" priority="8918" stopIfTrue="1">
      <formula>OR($O$6033="F/S",$O$6033="")</formula>
    </cfRule>
    <cfRule type="cellIs" dxfId="1739" priority="8919" stopIfTrue="1" operator="notEqual">
      <formula>0</formula>
    </cfRule>
  </conditionalFormatting>
  <conditionalFormatting sqref="L5087">
    <cfRule type="expression" dxfId="1738" priority="8920" stopIfTrue="1">
      <formula>OR($L$5087="F/S",$L$5087="")</formula>
    </cfRule>
    <cfRule type="cellIs" dxfId="1737" priority="8921" stopIfTrue="1" operator="notEqual">
      <formula>0</formula>
    </cfRule>
  </conditionalFormatting>
  <conditionalFormatting sqref="O5087">
    <cfRule type="expression" dxfId="1736" priority="8922" stopIfTrue="1">
      <formula>OR($O$5087="F/S",$O$5087="")</formula>
    </cfRule>
    <cfRule type="cellIs" dxfId="1735" priority="8923" stopIfTrue="1" operator="notEqual">
      <formula>0</formula>
    </cfRule>
  </conditionalFormatting>
  <conditionalFormatting sqref="L5098">
    <cfRule type="expression" dxfId="1734" priority="8924" stopIfTrue="1">
      <formula>OR($L$5098="F/S",$L$5098="")</formula>
    </cfRule>
    <cfRule type="cellIs" dxfId="1733" priority="8925" stopIfTrue="1" operator="notEqual">
      <formula>0</formula>
    </cfRule>
  </conditionalFormatting>
  <conditionalFormatting sqref="O5098">
    <cfRule type="expression" dxfId="1732" priority="8926" stopIfTrue="1">
      <formula>OR($O$5098="F/S",$O$5098="")</formula>
    </cfRule>
    <cfRule type="cellIs" dxfId="1731" priority="8927" stopIfTrue="1" operator="notEqual">
      <formula>0</formula>
    </cfRule>
  </conditionalFormatting>
  <conditionalFormatting sqref="L5121">
    <cfRule type="expression" dxfId="1730" priority="8928" stopIfTrue="1">
      <formula>OR($L$5121="F/S",$L$5121="")</formula>
    </cfRule>
    <cfRule type="cellIs" dxfId="1729" priority="8929" stopIfTrue="1" operator="notEqual">
      <formula>0</formula>
    </cfRule>
  </conditionalFormatting>
  <conditionalFormatting sqref="O5121">
    <cfRule type="expression" dxfId="1728" priority="8930" stopIfTrue="1">
      <formula>OR($O$5121="F/S",$O$5121="")</formula>
    </cfRule>
    <cfRule type="cellIs" dxfId="1727" priority="8931" stopIfTrue="1" operator="notEqual">
      <formula>0</formula>
    </cfRule>
  </conditionalFormatting>
  <conditionalFormatting sqref="L5129">
    <cfRule type="expression" dxfId="1726" priority="8932" stopIfTrue="1">
      <formula>OR($L$5129="F/S",$L$5129="")</formula>
    </cfRule>
    <cfRule type="cellIs" dxfId="1725" priority="8933" stopIfTrue="1" operator="notEqual">
      <formula>0</formula>
    </cfRule>
  </conditionalFormatting>
  <conditionalFormatting sqref="O5129">
    <cfRule type="expression" dxfId="1724" priority="8934" stopIfTrue="1">
      <formula>OR($O$5129="F/S",$O$5129="")</formula>
    </cfRule>
    <cfRule type="cellIs" dxfId="1723" priority="8935" stopIfTrue="1" operator="notEqual">
      <formula>0</formula>
    </cfRule>
  </conditionalFormatting>
  <conditionalFormatting sqref="L5158">
    <cfRule type="expression" dxfId="1722" priority="8940" stopIfTrue="1">
      <formula>OR($L$5158="F/S",$L$5158="")</formula>
    </cfRule>
    <cfRule type="cellIs" dxfId="1721" priority="8941" stopIfTrue="1" operator="notEqual">
      <formula>0</formula>
    </cfRule>
  </conditionalFormatting>
  <conditionalFormatting sqref="O5158">
    <cfRule type="expression" dxfId="1720" priority="8942" stopIfTrue="1">
      <formula>OR($O$5158="F/S",$O$5158="")</formula>
    </cfRule>
    <cfRule type="cellIs" dxfId="1719" priority="8943" stopIfTrue="1" operator="notEqual">
      <formula>0</formula>
    </cfRule>
  </conditionalFormatting>
  <conditionalFormatting sqref="L5174">
    <cfRule type="expression" dxfId="1718" priority="8944" stopIfTrue="1">
      <formula>OR($L$5174="F/S",$L$5174="")</formula>
    </cfRule>
    <cfRule type="cellIs" dxfId="1717" priority="8945" stopIfTrue="1" operator="notEqual">
      <formula>0</formula>
    </cfRule>
  </conditionalFormatting>
  <conditionalFormatting sqref="O5174">
    <cfRule type="expression" dxfId="1716" priority="8946" stopIfTrue="1">
      <formula>OR($O$5174="F/S",$O$5174="")</formula>
    </cfRule>
    <cfRule type="cellIs" dxfId="1715" priority="8947" stopIfTrue="1" operator="notEqual">
      <formula>0</formula>
    </cfRule>
  </conditionalFormatting>
  <conditionalFormatting sqref="L5138">
    <cfRule type="expression" dxfId="1714" priority="8948" stopIfTrue="1">
      <formula>OR($L$5138="F/S",$L$5138="")</formula>
    </cfRule>
    <cfRule type="cellIs" dxfId="1713" priority="8949" stopIfTrue="1" operator="notEqual">
      <formula>0</formula>
    </cfRule>
  </conditionalFormatting>
  <conditionalFormatting sqref="O5138">
    <cfRule type="expression" dxfId="1712" priority="8950" stopIfTrue="1">
      <formula>OR($O$5138="F/S",$O$5138="")</formula>
    </cfRule>
    <cfRule type="cellIs" dxfId="1711" priority="8951" stopIfTrue="1" operator="notEqual">
      <formula>0</formula>
    </cfRule>
  </conditionalFormatting>
  <conditionalFormatting sqref="L5148">
    <cfRule type="expression" dxfId="1710" priority="8952" stopIfTrue="1">
      <formula>OR($L$5148="F/S",$L$5148="")</formula>
    </cfRule>
    <cfRule type="cellIs" dxfId="1709" priority="8953" stopIfTrue="1" operator="notEqual">
      <formula>0</formula>
    </cfRule>
  </conditionalFormatting>
  <conditionalFormatting sqref="O5148">
    <cfRule type="expression" dxfId="1708" priority="8954" stopIfTrue="1">
      <formula>OR($O$5148="F/S",$O$5148="")</formula>
    </cfRule>
    <cfRule type="cellIs" dxfId="1707" priority="8955" stopIfTrue="1" operator="notEqual">
      <formula>0</formula>
    </cfRule>
  </conditionalFormatting>
  <conditionalFormatting sqref="L6056">
    <cfRule type="expression" dxfId="1706" priority="8956" stopIfTrue="1">
      <formula>OR($L$6056="F/S",$L$6056="")</formula>
    </cfRule>
    <cfRule type="cellIs" dxfId="1705" priority="8957" stopIfTrue="1" operator="notEqual">
      <formula>0</formula>
    </cfRule>
  </conditionalFormatting>
  <conditionalFormatting sqref="O6056">
    <cfRule type="expression" dxfId="1704" priority="8958" stopIfTrue="1">
      <formula>OR($O$6056="F/S",$O$6056="")</formula>
    </cfRule>
    <cfRule type="cellIs" dxfId="1703" priority="8959" stopIfTrue="1" operator="notEqual">
      <formula>0</formula>
    </cfRule>
  </conditionalFormatting>
  <conditionalFormatting sqref="L6065">
    <cfRule type="expression" dxfId="1702" priority="8960" stopIfTrue="1">
      <formula>OR($L$6065="F/S",$L$6065="")</formula>
    </cfRule>
    <cfRule type="cellIs" dxfId="1701" priority="8961" stopIfTrue="1" operator="notEqual">
      <formula>0</formula>
    </cfRule>
  </conditionalFormatting>
  <conditionalFormatting sqref="O6065">
    <cfRule type="expression" dxfId="1700" priority="8962" stopIfTrue="1">
      <formula>OR($O$6065="F/S",$O$6065="")</formula>
    </cfRule>
    <cfRule type="cellIs" dxfId="1699" priority="8963" stopIfTrue="1" operator="notEqual">
      <formula>0</formula>
    </cfRule>
  </conditionalFormatting>
  <conditionalFormatting sqref="L6076">
    <cfRule type="expression" dxfId="1698" priority="8964" stopIfTrue="1">
      <formula>OR($L$6076="F/S",$L$6076="")</formula>
    </cfRule>
    <cfRule type="cellIs" dxfId="1697" priority="8965" stopIfTrue="1" operator="notEqual">
      <formula>0</formula>
    </cfRule>
  </conditionalFormatting>
  <conditionalFormatting sqref="O6076">
    <cfRule type="expression" dxfId="1696" priority="8966" stopIfTrue="1">
      <formula>OR($O$6076="F/S",$O$6076="")</formula>
    </cfRule>
    <cfRule type="cellIs" dxfId="1695" priority="8967" stopIfTrue="1" operator="notEqual">
      <formula>0</formula>
    </cfRule>
  </conditionalFormatting>
  <conditionalFormatting sqref="L6085">
    <cfRule type="expression" dxfId="1694" priority="8968" stopIfTrue="1">
      <formula>OR($L$6085="F/S",$L$6085="")</formula>
    </cfRule>
    <cfRule type="cellIs" dxfId="1693" priority="8969" stopIfTrue="1" operator="notEqual">
      <formula>0</formula>
    </cfRule>
  </conditionalFormatting>
  <conditionalFormatting sqref="O6085">
    <cfRule type="expression" dxfId="1692" priority="8970" stopIfTrue="1">
      <formula>OR($O$6085="F/S",$O$6085="")</formula>
    </cfRule>
    <cfRule type="cellIs" dxfId="1691" priority="8971" stopIfTrue="1" operator="notEqual">
      <formula>0</formula>
    </cfRule>
  </conditionalFormatting>
  <conditionalFormatting sqref="L6094">
    <cfRule type="expression" dxfId="1690" priority="8972" stopIfTrue="1">
      <formula>OR($L$6094="F/S",$L$6094="")</formula>
    </cfRule>
    <cfRule type="cellIs" dxfId="1689" priority="8973" stopIfTrue="1" operator="notEqual">
      <formula>0</formula>
    </cfRule>
  </conditionalFormatting>
  <conditionalFormatting sqref="O6094">
    <cfRule type="expression" dxfId="1688" priority="8974" stopIfTrue="1">
      <formula>OR($O$6094="F/S",$O$6094="")</formula>
    </cfRule>
    <cfRule type="cellIs" dxfId="1687" priority="8975" stopIfTrue="1" operator="notEqual">
      <formula>0</formula>
    </cfRule>
  </conditionalFormatting>
  <conditionalFormatting sqref="L6108">
    <cfRule type="expression" dxfId="1686" priority="8976" stopIfTrue="1">
      <formula>OR($L$6108="F/S",$L$6108="")</formula>
    </cfRule>
    <cfRule type="cellIs" dxfId="1685" priority="8977" stopIfTrue="1" operator="notEqual">
      <formula>0</formula>
    </cfRule>
  </conditionalFormatting>
  <conditionalFormatting sqref="O6108">
    <cfRule type="expression" dxfId="1684" priority="8978" stopIfTrue="1">
      <formula>OR($O$6108="F/S",$O$6108="")</formula>
    </cfRule>
    <cfRule type="cellIs" dxfId="1683" priority="8979" stopIfTrue="1" operator="notEqual">
      <formula>0</formula>
    </cfRule>
  </conditionalFormatting>
  <conditionalFormatting sqref="L6118">
    <cfRule type="expression" dxfId="1682" priority="8980" stopIfTrue="1">
      <formula>OR($L$6118="F/S",$L$6118="")</formula>
    </cfRule>
    <cfRule type="cellIs" dxfId="1681" priority="8981" stopIfTrue="1" operator="notEqual">
      <formula>0</formula>
    </cfRule>
  </conditionalFormatting>
  <conditionalFormatting sqref="O6118">
    <cfRule type="expression" dxfId="1680" priority="8982" stopIfTrue="1">
      <formula>OR($O$6118="F/S",$O$6118="")</formula>
    </cfRule>
    <cfRule type="cellIs" dxfId="1679" priority="8983" stopIfTrue="1" operator="notEqual">
      <formula>0</formula>
    </cfRule>
  </conditionalFormatting>
  <conditionalFormatting sqref="L6127">
    <cfRule type="expression" dxfId="1678" priority="8984" stopIfTrue="1">
      <formula>OR($L$6127="F/S",$L$6127="")</formula>
    </cfRule>
    <cfRule type="cellIs" dxfId="1677" priority="8985" stopIfTrue="1" operator="notEqual">
      <formula>0</formula>
    </cfRule>
  </conditionalFormatting>
  <conditionalFormatting sqref="O6127">
    <cfRule type="expression" dxfId="1676" priority="8986" stopIfTrue="1">
      <formula>OR($O$6127="F/S",$O$6127="")</formula>
    </cfRule>
    <cfRule type="cellIs" dxfId="1675" priority="8987" stopIfTrue="1" operator="notEqual">
      <formula>0</formula>
    </cfRule>
  </conditionalFormatting>
  <conditionalFormatting sqref="L6138">
    <cfRule type="expression" dxfId="1674" priority="8988" stopIfTrue="1">
      <formula>OR($L$6138="F/S",$L$6138="")</formula>
    </cfRule>
    <cfRule type="cellIs" dxfId="1673" priority="8989" stopIfTrue="1" operator="notEqual">
      <formula>0</formula>
    </cfRule>
  </conditionalFormatting>
  <conditionalFormatting sqref="O6138">
    <cfRule type="expression" dxfId="1672" priority="8990" stopIfTrue="1">
      <formula>OR($O$6138="F/S",$O$6138="")</formula>
    </cfRule>
    <cfRule type="cellIs" dxfId="1671" priority="8991" stopIfTrue="1" operator="notEqual">
      <formula>0</formula>
    </cfRule>
  </conditionalFormatting>
  <conditionalFormatting sqref="L6147">
    <cfRule type="expression" dxfId="1670" priority="8992" stopIfTrue="1">
      <formula>OR($L$6147="F/S",$L$6147="")</formula>
    </cfRule>
    <cfRule type="cellIs" dxfId="1669" priority="8993" stopIfTrue="1" operator="notEqual">
      <formula>0</formula>
    </cfRule>
  </conditionalFormatting>
  <conditionalFormatting sqref="O6147">
    <cfRule type="expression" dxfId="1668" priority="8994" stopIfTrue="1">
      <formula>OR($O$6147="F/S",$O$6147="")</formula>
    </cfRule>
    <cfRule type="cellIs" dxfId="1667" priority="8995" stopIfTrue="1" operator="notEqual">
      <formula>0</formula>
    </cfRule>
  </conditionalFormatting>
  <conditionalFormatting sqref="L6156">
    <cfRule type="expression" dxfId="1666" priority="8996" stopIfTrue="1">
      <formula>OR($L$6156="F/S",$L$6156="")</formula>
    </cfRule>
    <cfRule type="cellIs" dxfId="1665" priority="8997" stopIfTrue="1" operator="notEqual">
      <formula>0</formula>
    </cfRule>
  </conditionalFormatting>
  <conditionalFormatting sqref="O6156">
    <cfRule type="expression" dxfId="1664" priority="8998" stopIfTrue="1">
      <formula>OR($O$6156="F/S",$O$6156="")</formula>
    </cfRule>
    <cfRule type="cellIs" dxfId="1663" priority="8999" stopIfTrue="1" operator="notEqual">
      <formula>0</formula>
    </cfRule>
  </conditionalFormatting>
  <conditionalFormatting sqref="L6165">
    <cfRule type="expression" dxfId="1662" priority="9000" stopIfTrue="1">
      <formula>OR($L$6165="F/S",$L$6165="")</formula>
    </cfRule>
    <cfRule type="cellIs" dxfId="1661" priority="9001" stopIfTrue="1" operator="notEqual">
      <formula>0</formula>
    </cfRule>
  </conditionalFormatting>
  <conditionalFormatting sqref="O6165">
    <cfRule type="expression" dxfId="1660" priority="9002" stopIfTrue="1">
      <formula>OR($O$6165="F/S",$O$6165="")</formula>
    </cfRule>
    <cfRule type="cellIs" dxfId="1659" priority="9003" stopIfTrue="1" operator="notEqual">
      <formula>0</formula>
    </cfRule>
  </conditionalFormatting>
  <conditionalFormatting sqref="L6187">
    <cfRule type="expression" dxfId="1658" priority="9004" stopIfTrue="1">
      <formula>OR($L$6187="F/S",$L$6187="")</formula>
    </cfRule>
    <cfRule type="cellIs" dxfId="1657" priority="9005" stopIfTrue="1" operator="notEqual">
      <formula>0</formula>
    </cfRule>
  </conditionalFormatting>
  <conditionalFormatting sqref="O6187">
    <cfRule type="expression" dxfId="1656" priority="9006" stopIfTrue="1">
      <formula>OR($O$6187="F/S",$O$6187="")</formula>
    </cfRule>
    <cfRule type="cellIs" dxfId="1655" priority="9007" stopIfTrue="1" operator="notEqual">
      <formula>0</formula>
    </cfRule>
  </conditionalFormatting>
  <conditionalFormatting sqref="L6214">
    <cfRule type="expression" dxfId="1654" priority="9008" stopIfTrue="1">
      <formula>OR($L$6214="F/S",$L$6214="")</formula>
    </cfRule>
    <cfRule type="cellIs" dxfId="1653" priority="9009" stopIfTrue="1" operator="notEqual">
      <formula>0</formula>
    </cfRule>
  </conditionalFormatting>
  <conditionalFormatting sqref="O6214">
    <cfRule type="expression" dxfId="1652" priority="9010" stopIfTrue="1">
      <formula>OR($O$6214="F/S",$O$6214="")</formula>
    </cfRule>
    <cfRule type="cellIs" dxfId="1651" priority="9011" stopIfTrue="1" operator="notEqual">
      <formula>0</formula>
    </cfRule>
  </conditionalFormatting>
  <conditionalFormatting sqref="L6243">
    <cfRule type="expression" dxfId="1650" priority="9012" stopIfTrue="1">
      <formula>OR($L$6243="F/S",$L$6243="")</formula>
    </cfRule>
    <cfRule type="cellIs" dxfId="1649" priority="9013" stopIfTrue="1" operator="notEqual">
      <formula>0</formula>
    </cfRule>
  </conditionalFormatting>
  <conditionalFormatting sqref="O6243">
    <cfRule type="expression" dxfId="1648" priority="9014" stopIfTrue="1">
      <formula>OR($O$6243="F/S",$O$6243="")</formula>
    </cfRule>
    <cfRule type="cellIs" dxfId="1647" priority="9015" stopIfTrue="1" operator="notEqual">
      <formula>0</formula>
    </cfRule>
  </conditionalFormatting>
  <conditionalFormatting sqref="L5623">
    <cfRule type="expression" dxfId="1646" priority="9016" stopIfTrue="1">
      <formula>OR($L$5623="F/S",$L$5623="")</formula>
    </cfRule>
    <cfRule type="cellIs" dxfId="1645" priority="9017" stopIfTrue="1" operator="notEqual">
      <formula>0</formula>
    </cfRule>
  </conditionalFormatting>
  <conditionalFormatting sqref="O5623">
    <cfRule type="expression" dxfId="1644" priority="9018" stopIfTrue="1">
      <formula>OR($O$5623="F/S",$O$5623="")</formula>
    </cfRule>
    <cfRule type="cellIs" dxfId="1643" priority="9019" stopIfTrue="1" operator="notEqual">
      <formula>0</formula>
    </cfRule>
  </conditionalFormatting>
  <conditionalFormatting sqref="L5636">
    <cfRule type="expression" dxfId="1642" priority="9020" stopIfTrue="1">
      <formula>OR($L$5636="F/S",$L$5636="")</formula>
    </cfRule>
    <cfRule type="cellIs" dxfId="1641" priority="9021" stopIfTrue="1" operator="notEqual">
      <formula>0</formula>
    </cfRule>
  </conditionalFormatting>
  <conditionalFormatting sqref="O5636">
    <cfRule type="expression" dxfId="1640" priority="9022" stopIfTrue="1">
      <formula>OR($O$5636="F/S",$O$5636="")</formula>
    </cfRule>
    <cfRule type="cellIs" dxfId="1639" priority="9023" stopIfTrue="1" operator="notEqual">
      <formula>0</formula>
    </cfRule>
  </conditionalFormatting>
  <conditionalFormatting sqref="L5649">
    <cfRule type="expression" dxfId="1638" priority="9024" stopIfTrue="1">
      <formula>OR($L$5649="F/S",$L$5649="")</formula>
    </cfRule>
    <cfRule type="cellIs" dxfId="1637" priority="9025" stopIfTrue="1" operator="notEqual">
      <formula>0</formula>
    </cfRule>
  </conditionalFormatting>
  <conditionalFormatting sqref="O5649">
    <cfRule type="expression" dxfId="1636" priority="9026" stopIfTrue="1">
      <formula>OR($O$5649="F/S",$O$5649="")</formula>
    </cfRule>
    <cfRule type="cellIs" dxfId="1635" priority="9027" stopIfTrue="1" operator="notEqual">
      <formula>0</formula>
    </cfRule>
  </conditionalFormatting>
  <conditionalFormatting sqref="L5659">
    <cfRule type="expression" dxfId="1634" priority="9028" stopIfTrue="1">
      <formula>OR($L$5659="F/S",$L$5659="")</formula>
    </cfRule>
    <cfRule type="cellIs" dxfId="1633" priority="9029" stopIfTrue="1" operator="notEqual">
      <formula>0</formula>
    </cfRule>
  </conditionalFormatting>
  <conditionalFormatting sqref="O5659">
    <cfRule type="expression" dxfId="1632" priority="9030" stopIfTrue="1">
      <formula>OR($O$5659="F/S",$O$5659="")</formula>
    </cfRule>
    <cfRule type="cellIs" dxfId="1631" priority="9031" stopIfTrue="1" operator="notEqual">
      <formula>0</formula>
    </cfRule>
  </conditionalFormatting>
  <conditionalFormatting sqref="L5669">
    <cfRule type="expression" dxfId="1630" priority="9032" stopIfTrue="1">
      <formula>OR($L$5669="F/S",$L$5669="")</formula>
    </cfRule>
    <cfRule type="cellIs" dxfId="1629" priority="9033" stopIfTrue="1" operator="notEqual">
      <formula>0</formula>
    </cfRule>
  </conditionalFormatting>
  <conditionalFormatting sqref="O5669">
    <cfRule type="expression" dxfId="1628" priority="9034" stopIfTrue="1">
      <formula>OR($O$5669="F/S",$O$5669="")</formula>
    </cfRule>
    <cfRule type="cellIs" dxfId="1627" priority="9035" stopIfTrue="1" operator="notEqual">
      <formula>0</formula>
    </cfRule>
  </conditionalFormatting>
  <conditionalFormatting sqref="L5679">
    <cfRule type="expression" dxfId="1626" priority="9036" stopIfTrue="1">
      <formula>OR($L$5679="F/S",$L$5679="")</formula>
    </cfRule>
    <cfRule type="cellIs" dxfId="1625" priority="9037" stopIfTrue="1" operator="notEqual">
      <formula>0</formula>
    </cfRule>
  </conditionalFormatting>
  <conditionalFormatting sqref="O5679">
    <cfRule type="expression" dxfId="1624" priority="9038" stopIfTrue="1">
      <formula>OR($O$5679="F/S",$O$5679="")</formula>
    </cfRule>
    <cfRule type="cellIs" dxfId="1623" priority="9039" stopIfTrue="1" operator="notEqual">
      <formula>0</formula>
    </cfRule>
  </conditionalFormatting>
  <conditionalFormatting sqref="L5689">
    <cfRule type="expression" dxfId="1622" priority="9040" stopIfTrue="1">
      <formula>OR($L$5689="F/S",$L$5689="")</formula>
    </cfRule>
    <cfRule type="cellIs" dxfId="1621" priority="9041" stopIfTrue="1" operator="notEqual">
      <formula>0</formula>
    </cfRule>
  </conditionalFormatting>
  <conditionalFormatting sqref="O5689">
    <cfRule type="expression" dxfId="1620" priority="9042" stopIfTrue="1">
      <formula>OR($O$5689="F/S",$O$5689="")</formula>
    </cfRule>
    <cfRule type="cellIs" dxfId="1619" priority="9043" stopIfTrue="1" operator="notEqual">
      <formula>0</formula>
    </cfRule>
  </conditionalFormatting>
  <conditionalFormatting sqref="L5699">
    <cfRule type="expression" dxfId="1618" priority="9044" stopIfTrue="1">
      <formula>OR($L$5699="F/S",$L$5699="")</formula>
    </cfRule>
    <cfRule type="cellIs" dxfId="1617" priority="9045" stopIfTrue="1" operator="notEqual">
      <formula>0</formula>
    </cfRule>
  </conditionalFormatting>
  <conditionalFormatting sqref="O5699">
    <cfRule type="expression" dxfId="1616" priority="9046" stopIfTrue="1">
      <formula>OR($O$5699="F/S",$O$5699="")</formula>
    </cfRule>
    <cfRule type="cellIs" dxfId="1615" priority="9047" stopIfTrue="1" operator="notEqual">
      <formula>0</formula>
    </cfRule>
  </conditionalFormatting>
  <conditionalFormatting sqref="L5709">
    <cfRule type="expression" dxfId="1614" priority="9048" stopIfTrue="1">
      <formula>OR($L$5709="F/S",$L$5709="")</formula>
    </cfRule>
    <cfRule type="cellIs" dxfId="1613" priority="9049" stopIfTrue="1" operator="notEqual">
      <formula>0</formula>
    </cfRule>
  </conditionalFormatting>
  <conditionalFormatting sqref="O5709">
    <cfRule type="expression" dxfId="1612" priority="9050" stopIfTrue="1">
      <formula>OR($O$5709="F/S",$O$5709="")</formula>
    </cfRule>
    <cfRule type="cellIs" dxfId="1611" priority="9051" stopIfTrue="1" operator="notEqual">
      <formula>0</formula>
    </cfRule>
  </conditionalFormatting>
  <conditionalFormatting sqref="L5719">
    <cfRule type="expression" dxfId="1610" priority="9052" stopIfTrue="1">
      <formula>OR($L$5719="F/S",$L$5719="")</formula>
    </cfRule>
    <cfRule type="cellIs" dxfId="1609" priority="9053" stopIfTrue="1" operator="notEqual">
      <formula>0</formula>
    </cfRule>
  </conditionalFormatting>
  <conditionalFormatting sqref="O5719">
    <cfRule type="expression" dxfId="1608" priority="9054" stopIfTrue="1">
      <formula>OR($O$5719="F/S",$O$5719="")</formula>
    </cfRule>
    <cfRule type="cellIs" dxfId="1607" priority="9055" stopIfTrue="1" operator="notEqual">
      <formula>0</formula>
    </cfRule>
  </conditionalFormatting>
  <conditionalFormatting sqref="L5729">
    <cfRule type="expression" dxfId="1606" priority="9056" stopIfTrue="1">
      <formula>OR($L$5729="F/S",$L$5729="")</formula>
    </cfRule>
    <cfRule type="cellIs" dxfId="1605" priority="9057" stopIfTrue="1" operator="notEqual">
      <formula>0</formula>
    </cfRule>
  </conditionalFormatting>
  <conditionalFormatting sqref="O5729">
    <cfRule type="expression" dxfId="1604" priority="9058" stopIfTrue="1">
      <formula>OR($O$5729="F/S",$O$5729="")</formula>
    </cfRule>
    <cfRule type="cellIs" dxfId="1603" priority="9059" stopIfTrue="1" operator="notEqual">
      <formula>0</formula>
    </cfRule>
  </conditionalFormatting>
  <conditionalFormatting sqref="L5739">
    <cfRule type="expression" dxfId="1602" priority="9060" stopIfTrue="1">
      <formula>OR($L$5739="F/S",$L$5739="")</formula>
    </cfRule>
    <cfRule type="cellIs" dxfId="1601" priority="9061" stopIfTrue="1" operator="notEqual">
      <formula>0</formula>
    </cfRule>
  </conditionalFormatting>
  <conditionalFormatting sqref="O5739">
    <cfRule type="expression" dxfId="1600" priority="9062" stopIfTrue="1">
      <formula>OR($O$5739="F/S",$O$5739="")</formula>
    </cfRule>
    <cfRule type="cellIs" dxfId="1599" priority="9063" stopIfTrue="1" operator="notEqual">
      <formula>0</formula>
    </cfRule>
  </conditionalFormatting>
  <conditionalFormatting sqref="L5747">
    <cfRule type="expression" dxfId="1598" priority="9064" stopIfTrue="1">
      <formula>OR($L$5747="F/S",$L$5747="")</formula>
    </cfRule>
    <cfRule type="cellIs" dxfId="1597" priority="9065" stopIfTrue="1" operator="notEqual">
      <formula>0</formula>
    </cfRule>
  </conditionalFormatting>
  <conditionalFormatting sqref="O5747">
    <cfRule type="expression" dxfId="1596" priority="9066" stopIfTrue="1">
      <formula>OR($O$5747="F/S",$O$5747="")</formula>
    </cfRule>
    <cfRule type="cellIs" dxfId="1595" priority="9067" stopIfTrue="1" operator="notEqual">
      <formula>0</formula>
    </cfRule>
  </conditionalFormatting>
  <conditionalFormatting sqref="L5762">
    <cfRule type="expression" dxfId="1594" priority="9068" stopIfTrue="1">
      <formula>OR($L$5762="F/S",$L$5762="")</formula>
    </cfRule>
    <cfRule type="cellIs" dxfId="1593" priority="9069" stopIfTrue="1" operator="notEqual">
      <formula>0</formula>
    </cfRule>
  </conditionalFormatting>
  <conditionalFormatting sqref="O5762">
    <cfRule type="expression" dxfId="1592" priority="9070" stopIfTrue="1">
      <formula>OR($O$5762="F/S",$O$5762="")</formula>
    </cfRule>
    <cfRule type="cellIs" dxfId="1591" priority="9071" stopIfTrue="1" operator="notEqual">
      <formula>0</formula>
    </cfRule>
  </conditionalFormatting>
  <conditionalFormatting sqref="L5185">
    <cfRule type="expression" dxfId="1590" priority="9072" stopIfTrue="1">
      <formula>OR($L$5185="F/S",$L$5185="")</formula>
    </cfRule>
    <cfRule type="cellIs" dxfId="1589" priority="9073" stopIfTrue="1" operator="notEqual">
      <formula>0</formula>
    </cfRule>
  </conditionalFormatting>
  <conditionalFormatting sqref="O5185">
    <cfRule type="expression" dxfId="1588" priority="9074" stopIfTrue="1">
      <formula>OR($O$5185="F/S",$O$5185="")</formula>
    </cfRule>
    <cfRule type="cellIs" dxfId="1587" priority="9075" stopIfTrue="1" operator="notEqual">
      <formula>0</formula>
    </cfRule>
  </conditionalFormatting>
  <conditionalFormatting sqref="L5321">
    <cfRule type="expression" dxfId="1586" priority="9088" stopIfTrue="1">
      <formula>OR($L$5321="F/S",$L$5321="")</formula>
    </cfRule>
    <cfRule type="cellIs" dxfId="1585" priority="9089" stopIfTrue="1" operator="notEqual">
      <formula>0</formula>
    </cfRule>
  </conditionalFormatting>
  <conditionalFormatting sqref="O5321">
    <cfRule type="expression" dxfId="1584" priority="9090" stopIfTrue="1">
      <formula>OR($O$5321="F/S",$O$5321="")</formula>
    </cfRule>
    <cfRule type="cellIs" dxfId="1583" priority="9091" stopIfTrue="1" operator="notEqual">
      <formula>0</formula>
    </cfRule>
  </conditionalFormatting>
  <conditionalFormatting sqref="L5338">
    <cfRule type="expression" dxfId="1582" priority="9092" stopIfTrue="1">
      <formula>OR($L$5338="F/S",$L$5338="")</formula>
    </cfRule>
    <cfRule type="cellIs" dxfId="1581" priority="9093" stopIfTrue="1" operator="notEqual">
      <formula>0</formula>
    </cfRule>
  </conditionalFormatting>
  <conditionalFormatting sqref="O5338">
    <cfRule type="expression" dxfId="1580" priority="9094" stopIfTrue="1">
      <formula>OR($O$5338="F/S",$O$5338="")</formula>
    </cfRule>
    <cfRule type="cellIs" dxfId="1579" priority="9095" stopIfTrue="1" operator="notEqual">
      <formula>0</formula>
    </cfRule>
  </conditionalFormatting>
  <conditionalFormatting sqref="L5355">
    <cfRule type="expression" dxfId="1578" priority="9096" stopIfTrue="1">
      <formula>OR($L$5355="F/S",$L$5355="")</formula>
    </cfRule>
    <cfRule type="cellIs" dxfId="1577" priority="9097" stopIfTrue="1" operator="notEqual">
      <formula>0</formula>
    </cfRule>
  </conditionalFormatting>
  <conditionalFormatting sqref="O5355">
    <cfRule type="expression" dxfId="1576" priority="9098" stopIfTrue="1">
      <formula>OR($O$5355="F/S",$O$5355="")</formula>
    </cfRule>
    <cfRule type="cellIs" dxfId="1575" priority="9099" stopIfTrue="1" operator="notEqual">
      <formula>0</formula>
    </cfRule>
  </conditionalFormatting>
  <conditionalFormatting sqref="L5371">
    <cfRule type="expression" dxfId="1574" priority="9100" stopIfTrue="1">
      <formula>OR($L$5371="F/S",$L$5371="")</formula>
    </cfRule>
    <cfRule type="cellIs" dxfId="1573" priority="9101" stopIfTrue="1" operator="notEqual">
      <formula>0</formula>
    </cfRule>
  </conditionalFormatting>
  <conditionalFormatting sqref="O5371">
    <cfRule type="expression" dxfId="1572" priority="9102" stopIfTrue="1">
      <formula>OR($O$5371="F/S",$O$5371="")</formula>
    </cfRule>
    <cfRule type="cellIs" dxfId="1571" priority="9103" stopIfTrue="1" operator="notEqual">
      <formula>0</formula>
    </cfRule>
  </conditionalFormatting>
  <conditionalFormatting sqref="L5387">
    <cfRule type="expression" dxfId="1570" priority="9104" stopIfTrue="1">
      <formula>OR($L$5387="F/S",$L$5387="")</formula>
    </cfRule>
    <cfRule type="cellIs" dxfId="1569" priority="9105" stopIfTrue="1" operator="notEqual">
      <formula>0</formula>
    </cfRule>
  </conditionalFormatting>
  <conditionalFormatting sqref="O5387">
    <cfRule type="expression" dxfId="1568" priority="9106" stopIfTrue="1">
      <formula>OR($O$5387="F/S",$O$5387="")</formula>
    </cfRule>
    <cfRule type="cellIs" dxfId="1567" priority="9107" stopIfTrue="1" operator="notEqual">
      <formula>0</formula>
    </cfRule>
  </conditionalFormatting>
  <conditionalFormatting sqref="L5421">
    <cfRule type="expression" dxfId="1566" priority="9108" stopIfTrue="1">
      <formula>OR($L$5421="F/S",$L$5421="")</formula>
    </cfRule>
    <cfRule type="cellIs" dxfId="1565" priority="9109" stopIfTrue="1" operator="notEqual">
      <formula>0</formula>
    </cfRule>
  </conditionalFormatting>
  <conditionalFormatting sqref="O5421">
    <cfRule type="expression" dxfId="1564" priority="9110" stopIfTrue="1">
      <formula>OR($O$5421="F/S",$O$5421="")</formula>
    </cfRule>
    <cfRule type="cellIs" dxfId="1563" priority="9111" stopIfTrue="1" operator="notEqual">
      <formula>0</formula>
    </cfRule>
  </conditionalFormatting>
  <conditionalFormatting sqref="L5456">
    <cfRule type="expression" dxfId="1562" priority="9112" stopIfTrue="1">
      <formula>OR($L$5456="F/S",$L$5456="")</formula>
    </cfRule>
    <cfRule type="cellIs" dxfId="1561" priority="9113" stopIfTrue="1" operator="notEqual">
      <formula>0</formula>
    </cfRule>
  </conditionalFormatting>
  <conditionalFormatting sqref="O5456">
    <cfRule type="expression" dxfId="1560" priority="9114" stopIfTrue="1">
      <formula>OR($O$5456="F/S",$O$5456="")</formula>
    </cfRule>
    <cfRule type="cellIs" dxfId="1559" priority="9115" stopIfTrue="1" operator="notEqual">
      <formula>0</formula>
    </cfRule>
  </conditionalFormatting>
  <conditionalFormatting sqref="L5603">
    <cfRule type="expression" dxfId="1558" priority="9116" stopIfTrue="1">
      <formula>OR($L$5603="F/S",$L$5603="")</formula>
    </cfRule>
    <cfRule type="cellIs" dxfId="1557" priority="9117" stopIfTrue="1" operator="notEqual">
      <formula>0</formula>
    </cfRule>
  </conditionalFormatting>
  <conditionalFormatting sqref="O5603">
    <cfRule type="expression" dxfId="1556" priority="9118" stopIfTrue="1">
      <formula>OR($O$5603="F/S",$O$5603="")</formula>
    </cfRule>
    <cfRule type="cellIs" dxfId="1555" priority="9119" stopIfTrue="1" operator="notEqual">
      <formula>0</formula>
    </cfRule>
  </conditionalFormatting>
  <conditionalFormatting sqref="L5577">
    <cfRule type="expression" dxfId="1554" priority="9136" stopIfTrue="1">
      <formula>OR($L$5577="F/S",$L$5577="")</formula>
    </cfRule>
    <cfRule type="cellIs" dxfId="1553" priority="9137" stopIfTrue="1" operator="notEqual">
      <formula>0</formula>
    </cfRule>
  </conditionalFormatting>
  <conditionalFormatting sqref="O5577">
    <cfRule type="expression" dxfId="1552" priority="9138" stopIfTrue="1">
      <formula>OR($O$5577="F/S",$O$5577="")</formula>
    </cfRule>
    <cfRule type="cellIs" dxfId="1551" priority="9139" stopIfTrue="1" operator="notEqual">
      <formula>0</formula>
    </cfRule>
  </conditionalFormatting>
  <conditionalFormatting sqref="L5776">
    <cfRule type="expression" dxfId="1550" priority="9144" stopIfTrue="1">
      <formula>OR($L$5776="F/S",$L$5776="")</formula>
    </cfRule>
    <cfRule type="cellIs" dxfId="1549" priority="9145" stopIfTrue="1" operator="notEqual">
      <formula>0</formula>
    </cfRule>
  </conditionalFormatting>
  <conditionalFormatting sqref="O5776">
    <cfRule type="expression" dxfId="1548" priority="9146" stopIfTrue="1">
      <formula>OR($O$5776="F/S",$O$5776="")</formula>
    </cfRule>
    <cfRule type="cellIs" dxfId="1547" priority="9147" stopIfTrue="1" operator="notEqual">
      <formula>0</formula>
    </cfRule>
  </conditionalFormatting>
  <conditionalFormatting sqref="L5277">
    <cfRule type="expression" dxfId="1546" priority="9148" stopIfTrue="1">
      <formula>OR($L$5277="F/S",$L$5277="")</formula>
    </cfRule>
    <cfRule type="cellIs" dxfId="1545" priority="9149" stopIfTrue="1" operator="notEqual">
      <formula>0</formula>
    </cfRule>
  </conditionalFormatting>
  <conditionalFormatting sqref="O5277">
    <cfRule type="expression" dxfId="1544" priority="9150" stopIfTrue="1">
      <formula>OR($O$5277="F/S",$O$5277="")</formula>
    </cfRule>
    <cfRule type="cellIs" dxfId="1543" priority="9151" stopIfTrue="1" operator="notEqual">
      <formula>0</formula>
    </cfRule>
  </conditionalFormatting>
  <conditionalFormatting sqref="L5550">
    <cfRule type="expression" dxfId="1542" priority="9152" stopIfTrue="1">
      <formula>OR($L$5550="F/S",$L$5550="")</formula>
    </cfRule>
    <cfRule type="cellIs" dxfId="1541" priority="9153" stopIfTrue="1" operator="notEqual">
      <formula>0</formula>
    </cfRule>
  </conditionalFormatting>
  <conditionalFormatting sqref="O5550">
    <cfRule type="expression" dxfId="1540" priority="9154" stopIfTrue="1">
      <formula>OR($O$5550="F/S",$O$5550="")</formula>
    </cfRule>
    <cfRule type="cellIs" dxfId="1539" priority="9155" stopIfTrue="1" operator="notEqual">
      <formula>0</formula>
    </cfRule>
  </conditionalFormatting>
  <conditionalFormatting sqref="L5559">
    <cfRule type="expression" dxfId="1538" priority="9156" stopIfTrue="1">
      <formula>OR($L$5559="F/S",$L$5559="")</formula>
    </cfRule>
    <cfRule type="cellIs" dxfId="1537" priority="9157" stopIfTrue="1" operator="notEqual">
      <formula>0</formula>
    </cfRule>
  </conditionalFormatting>
  <conditionalFormatting sqref="O5559">
    <cfRule type="expression" dxfId="1536" priority="9158" stopIfTrue="1">
      <formula>OR($O$5559="F/S",$O$5559="")</formula>
    </cfRule>
    <cfRule type="cellIs" dxfId="1535" priority="9159" stopIfTrue="1" operator="notEqual">
      <formula>0</formula>
    </cfRule>
  </conditionalFormatting>
  <conditionalFormatting sqref="L5292">
    <cfRule type="expression" dxfId="1534" priority="9184" stopIfTrue="1">
      <formula>OR($L$5292="F/S",$L$5292="")</formula>
    </cfRule>
    <cfRule type="cellIs" dxfId="1533" priority="9185" stopIfTrue="1" operator="notEqual">
      <formula>0</formula>
    </cfRule>
  </conditionalFormatting>
  <conditionalFormatting sqref="O5292">
    <cfRule type="expression" dxfId="1532" priority="9186" stopIfTrue="1">
      <formula>OR($O$5292="F/S",$O$5292="")</formula>
    </cfRule>
    <cfRule type="cellIs" dxfId="1531" priority="9187" stopIfTrue="1" operator="notEqual">
      <formula>0</formula>
    </cfRule>
  </conditionalFormatting>
  <conditionalFormatting sqref="L5307">
    <cfRule type="expression" dxfId="1530" priority="9188" stopIfTrue="1">
      <formula>OR($L$5307="F/S",$L$5307="")</formula>
    </cfRule>
    <cfRule type="cellIs" dxfId="1529" priority="9189" stopIfTrue="1" operator="notEqual">
      <formula>0</formula>
    </cfRule>
  </conditionalFormatting>
  <conditionalFormatting sqref="O5307">
    <cfRule type="expression" dxfId="1528" priority="9190" stopIfTrue="1">
      <formula>OR($O$5307="F/S",$O$5307="")</formula>
    </cfRule>
    <cfRule type="cellIs" dxfId="1527" priority="9191" stopIfTrue="1" operator="notEqual">
      <formula>0</formula>
    </cfRule>
  </conditionalFormatting>
  <conditionalFormatting sqref="L5806">
    <cfRule type="expression" dxfId="1526" priority="9192" stopIfTrue="1">
      <formula>OR($L$5806="F/S",$L$5806="")</formula>
    </cfRule>
    <cfRule type="cellIs" dxfId="1525" priority="9193" stopIfTrue="1" operator="notEqual">
      <formula>0</formula>
    </cfRule>
  </conditionalFormatting>
  <conditionalFormatting sqref="O5806">
    <cfRule type="expression" dxfId="1524" priority="9194" stopIfTrue="1">
      <formula>OR($O$5806="F/S",$O$5806="")</formula>
    </cfRule>
    <cfRule type="cellIs" dxfId="1523" priority="9195" stopIfTrue="1" operator="notEqual">
      <formula>0</formula>
    </cfRule>
  </conditionalFormatting>
  <conditionalFormatting sqref="L5848">
    <cfRule type="expression" dxfId="1522" priority="9196" stopIfTrue="1">
      <formula>OR($L$5848="F/S",$L$5848="")</formula>
    </cfRule>
    <cfRule type="cellIs" dxfId="1521" priority="9197" stopIfTrue="1" operator="notEqual">
      <formula>0</formula>
    </cfRule>
  </conditionalFormatting>
  <conditionalFormatting sqref="O5848">
    <cfRule type="expression" dxfId="1520" priority="9198" stopIfTrue="1">
      <formula>OR($O$5848="F/S",$O$5848="")</formula>
    </cfRule>
    <cfRule type="cellIs" dxfId="1519" priority="9199" stopIfTrue="1" operator="notEqual">
      <formula>0</formula>
    </cfRule>
  </conditionalFormatting>
  <conditionalFormatting sqref="L5838">
    <cfRule type="expression" dxfId="1518" priority="9200" stopIfTrue="1">
      <formula>OR($L$5838="F/S",$L$5838="")</formula>
    </cfRule>
    <cfRule type="cellIs" dxfId="1517" priority="9201" stopIfTrue="1" operator="notEqual">
      <formula>0</formula>
    </cfRule>
  </conditionalFormatting>
  <conditionalFormatting sqref="O5838">
    <cfRule type="expression" dxfId="1516" priority="9202" stopIfTrue="1">
      <formula>OR($O$5838="F/S",$O$5838="")</formula>
    </cfRule>
    <cfRule type="cellIs" dxfId="1515" priority="9203" stopIfTrue="1" operator="notEqual">
      <formula>0</formula>
    </cfRule>
  </conditionalFormatting>
  <conditionalFormatting sqref="L5858">
    <cfRule type="expression" dxfId="1514" priority="9204" stopIfTrue="1">
      <formula>OR($L$5858="F/S",$L$5858="")</formula>
    </cfRule>
    <cfRule type="cellIs" dxfId="1513" priority="9205" stopIfTrue="1" operator="notEqual">
      <formula>0</formula>
    </cfRule>
  </conditionalFormatting>
  <conditionalFormatting sqref="O5858">
    <cfRule type="expression" dxfId="1512" priority="9206" stopIfTrue="1">
      <formula>OR($O$5858="F/S",$O$5858="")</formula>
    </cfRule>
    <cfRule type="cellIs" dxfId="1511" priority="9207" stopIfTrue="1" operator="notEqual">
      <formula>0</formula>
    </cfRule>
  </conditionalFormatting>
  <conditionalFormatting sqref="L4986">
    <cfRule type="expression" dxfId="1510" priority="9208" stopIfTrue="1">
      <formula>OR($L$4986="F/S",$L$4986="")</formula>
    </cfRule>
    <cfRule type="cellIs" dxfId="1509" priority="9209" stopIfTrue="1" operator="notEqual">
      <formula>0</formula>
    </cfRule>
  </conditionalFormatting>
  <conditionalFormatting sqref="O4986">
    <cfRule type="expression" dxfId="1508" priority="9210" stopIfTrue="1">
      <formula>OR($O$4986="F/S",$O$4986="")</formula>
    </cfRule>
    <cfRule type="cellIs" dxfId="1507" priority="9211" stopIfTrue="1" operator="notEqual">
      <formula>0</formula>
    </cfRule>
  </conditionalFormatting>
  <conditionalFormatting sqref="L5000">
    <cfRule type="expression" dxfId="1506" priority="9212" stopIfTrue="1">
      <formula>OR($L$5000="F/S",$L$5000="")</formula>
    </cfRule>
    <cfRule type="cellIs" dxfId="1505" priority="9213" stopIfTrue="1" operator="notEqual">
      <formula>0</formula>
    </cfRule>
  </conditionalFormatting>
  <conditionalFormatting sqref="O5000">
    <cfRule type="expression" dxfId="1504" priority="9214" stopIfTrue="1">
      <formula>OR($O$5000="F/S",$O$5000="")</formula>
    </cfRule>
    <cfRule type="cellIs" dxfId="1503" priority="9215" stopIfTrue="1" operator="notEqual">
      <formula>0</formula>
    </cfRule>
  </conditionalFormatting>
  <conditionalFormatting sqref="L5010">
    <cfRule type="expression" dxfId="1502" priority="9216" stopIfTrue="1">
      <formula>OR($L$5010="F/S",$L$5010="")</formula>
    </cfRule>
    <cfRule type="cellIs" dxfId="1501" priority="9217" stopIfTrue="1" operator="notEqual">
      <formula>0</formula>
    </cfRule>
  </conditionalFormatting>
  <conditionalFormatting sqref="O5010">
    <cfRule type="expression" dxfId="1500" priority="9218" stopIfTrue="1">
      <formula>OR($O$5010="F/S",$O$5010="")</formula>
    </cfRule>
    <cfRule type="cellIs" dxfId="1499" priority="9219" stopIfTrue="1" operator="notEqual">
      <formula>0</formula>
    </cfRule>
  </conditionalFormatting>
  <conditionalFormatting sqref="H2701">
    <cfRule type="expression" dxfId="1498" priority="9224">
      <formula>AND(H$2701&lt;&gt;0,H$2701&lt;&gt;"")</formula>
    </cfRule>
    <cfRule type="expression" dxfId="1497" priority="9225" stopIfTrue="1">
      <formula>H$2702&lt;&gt;"√"</formula>
    </cfRule>
  </conditionalFormatting>
  <conditionalFormatting sqref="P2701">
    <cfRule type="expression" dxfId="1496" priority="9226">
      <formula>AND(P$2701&lt;&gt;0,P$2701&lt;&gt;"")</formula>
    </cfRule>
    <cfRule type="expression" dxfId="1495" priority="9227" stopIfTrue="1">
      <formula>P$2702&lt;&gt;"√"</formula>
    </cfRule>
  </conditionalFormatting>
  <conditionalFormatting sqref="K2703">
    <cfRule type="expression" dxfId="1494" priority="9228">
      <formula>AND($K$2703&lt;&gt;0,$K$2703&lt;&gt;"")</formula>
    </cfRule>
    <cfRule type="expression" dxfId="1493" priority="9229" stopIfTrue="1">
      <formula>$L$2703&lt;&gt;"√"</formula>
    </cfRule>
  </conditionalFormatting>
  <conditionalFormatting sqref="H3109">
    <cfRule type="expression" dxfId="1492" priority="9230">
      <formula>AND(H$3109&lt;&gt;0,H$3109&lt;&gt;"")</formula>
    </cfRule>
    <cfRule type="expression" dxfId="1491" priority="9231" stopIfTrue="1">
      <formula>H$3110&lt;&gt;"√"</formula>
    </cfRule>
  </conditionalFormatting>
  <conditionalFormatting sqref="P3109">
    <cfRule type="expression" dxfId="1490" priority="9232">
      <formula>AND(P$3109&lt;&gt;0,P$3109&lt;&gt;"")</formula>
    </cfRule>
    <cfRule type="expression" dxfId="1489" priority="9233" stopIfTrue="1">
      <formula>P$3110&lt;&gt;"√"</formula>
    </cfRule>
  </conditionalFormatting>
  <conditionalFormatting sqref="K3111">
    <cfRule type="expression" dxfId="1488" priority="9234">
      <formula>AND($K$3111&lt;&gt;0,$K$3111&lt;&gt;"")</formula>
    </cfRule>
    <cfRule type="expression" dxfId="1487" priority="9235" stopIfTrue="1">
      <formula>$L$3111&lt;&gt;"√"</formula>
    </cfRule>
  </conditionalFormatting>
  <conditionalFormatting sqref="G4372:G4390">
    <cfRule type="expression" dxfId="1486" priority="9239">
      <formula>$D4372&gt;1</formula>
    </cfRule>
    <cfRule type="expression" dxfId="1485" priority="9240">
      <formula>$C4372="%IN"</formula>
    </cfRule>
    <cfRule type="expression" dxfId="1484" priority="9241" stopIfTrue="1">
      <formula>$E4372=0</formula>
    </cfRule>
  </conditionalFormatting>
  <conditionalFormatting sqref="G5873:G5878">
    <cfRule type="expression" dxfId="1483" priority="9242">
      <formula>$D5873&gt;1</formula>
    </cfRule>
    <cfRule type="expression" dxfId="1482" priority="9243">
      <formula>$C5873="%IN"</formula>
    </cfRule>
    <cfRule type="expression" dxfId="1481" priority="9244" stopIfTrue="1">
      <formula>$E5873=0</formula>
    </cfRule>
  </conditionalFormatting>
  <conditionalFormatting sqref="G5884:G5889">
    <cfRule type="expression" dxfId="1480" priority="9245">
      <formula>$D5884&gt;1</formula>
    </cfRule>
    <cfRule type="expression" dxfId="1479" priority="9246">
      <formula>$C5884="%IN"</formula>
    </cfRule>
    <cfRule type="expression" dxfId="1478" priority="9247" stopIfTrue="1">
      <formula>$E5884=0</formula>
    </cfRule>
  </conditionalFormatting>
  <conditionalFormatting sqref="G5895:G5900">
    <cfRule type="expression" dxfId="1477" priority="9248">
      <formula>$D5895&gt;1</formula>
    </cfRule>
    <cfRule type="expression" dxfId="1476" priority="9249">
      <formula>$C5895="%IN"</formula>
    </cfRule>
    <cfRule type="expression" dxfId="1475" priority="9250" stopIfTrue="1">
      <formula>$E5895=0</formula>
    </cfRule>
  </conditionalFormatting>
  <conditionalFormatting sqref="G5906:G5911">
    <cfRule type="expression" dxfId="1474" priority="9251">
      <formula>$D5906&gt;1</formula>
    </cfRule>
    <cfRule type="expression" dxfId="1473" priority="9252">
      <formula>$C5906="%IN"</formula>
    </cfRule>
    <cfRule type="expression" dxfId="1472" priority="9253" stopIfTrue="1">
      <formula>$E5906=0</formula>
    </cfRule>
  </conditionalFormatting>
  <conditionalFormatting sqref="G5917:G5922">
    <cfRule type="expression" dxfId="1471" priority="9254">
      <formula>$D5917&gt;1</formula>
    </cfRule>
    <cfRule type="expression" dxfId="1470" priority="9255">
      <formula>$C5917="%IN"</formula>
    </cfRule>
    <cfRule type="expression" dxfId="1469" priority="9256" stopIfTrue="1">
      <formula>$E5917=0</formula>
    </cfRule>
  </conditionalFormatting>
  <conditionalFormatting sqref="G5928:G5933">
    <cfRule type="expression" dxfId="1468" priority="9257">
      <formula>$D5928&gt;1</formula>
    </cfRule>
    <cfRule type="expression" dxfId="1467" priority="9258">
      <formula>$C5928="%IN"</formula>
    </cfRule>
    <cfRule type="expression" dxfId="1466" priority="9259" stopIfTrue="1">
      <formula>$E5928=0</formula>
    </cfRule>
  </conditionalFormatting>
  <conditionalFormatting sqref="G5939:G5944">
    <cfRule type="expression" dxfId="1465" priority="9260">
      <formula>$D5939&gt;1</formula>
    </cfRule>
    <cfRule type="expression" dxfId="1464" priority="9261">
      <formula>$C5939="%IN"</formula>
    </cfRule>
    <cfRule type="expression" dxfId="1463" priority="9262" stopIfTrue="1">
      <formula>$E5939=0</formula>
    </cfRule>
  </conditionalFormatting>
  <conditionalFormatting sqref="G5950:G5955">
    <cfRule type="expression" dxfId="1462" priority="9263">
      <formula>$D5950&gt;1</formula>
    </cfRule>
    <cfRule type="expression" dxfId="1461" priority="9264">
      <formula>$C5950="%IN"</formula>
    </cfRule>
    <cfRule type="expression" dxfId="1460" priority="9265" stopIfTrue="1">
      <formula>$E5950=0</formula>
    </cfRule>
  </conditionalFormatting>
  <conditionalFormatting sqref="G5961:G5974">
    <cfRule type="expression" dxfId="1459" priority="9266">
      <formula>$D5961&gt;1</formula>
    </cfRule>
    <cfRule type="expression" dxfId="1458" priority="9267">
      <formula>$C5961="%IN"</formula>
    </cfRule>
    <cfRule type="expression" dxfId="1457" priority="9268" stopIfTrue="1">
      <formula>$E5961=0</formula>
    </cfRule>
  </conditionalFormatting>
  <conditionalFormatting sqref="G5980:G5995">
    <cfRule type="expression" dxfId="1456" priority="9269">
      <formula>$D5980&gt;1</formula>
    </cfRule>
    <cfRule type="expression" dxfId="1455" priority="9270">
      <formula>$C5980="%IN"</formula>
    </cfRule>
    <cfRule type="expression" dxfId="1454" priority="9271" stopIfTrue="1">
      <formula>$E5980=0</formula>
    </cfRule>
  </conditionalFormatting>
  <conditionalFormatting sqref="G6001:G6006">
    <cfRule type="expression" dxfId="1453" priority="9272">
      <formula>$D6001&gt;1</formula>
    </cfRule>
    <cfRule type="expression" dxfId="1452" priority="9273">
      <formula>$C6001="%IN"</formula>
    </cfRule>
    <cfRule type="expression" dxfId="1451" priority="9274" stopIfTrue="1">
      <formula>$E6001=0</formula>
    </cfRule>
  </conditionalFormatting>
  <conditionalFormatting sqref="G6012:G6018">
    <cfRule type="expression" dxfId="1450" priority="9275">
      <formula>$D6012&gt;1</formula>
    </cfRule>
    <cfRule type="expression" dxfId="1449" priority="9276">
      <formula>$C6012="%IN"</formula>
    </cfRule>
    <cfRule type="expression" dxfId="1448" priority="9277" stopIfTrue="1">
      <formula>$E6012=0</formula>
    </cfRule>
  </conditionalFormatting>
  <conditionalFormatting sqref="G6024:G6030">
    <cfRule type="expression" dxfId="1447" priority="9278">
      <formula>$D6024&gt;1</formula>
    </cfRule>
    <cfRule type="expression" dxfId="1446" priority="9279">
      <formula>$C6024="%IN"</formula>
    </cfRule>
    <cfRule type="expression" dxfId="1445" priority="9280" stopIfTrue="1">
      <formula>$E6024=0</formula>
    </cfRule>
  </conditionalFormatting>
  <conditionalFormatting sqref="G6036:G6052">
    <cfRule type="expression" dxfId="1444" priority="9281">
      <formula>$D6036&gt;1</formula>
    </cfRule>
    <cfRule type="expression" dxfId="1443" priority="9282">
      <formula>$C6036="%IN"</formula>
    </cfRule>
    <cfRule type="expression" dxfId="1442" priority="9283" stopIfTrue="1">
      <formula>$E6036=0</formula>
    </cfRule>
  </conditionalFormatting>
  <conditionalFormatting sqref="G6059:G6062">
    <cfRule type="expression" dxfId="1441" priority="9284">
      <formula>$D6059&gt;1</formula>
    </cfRule>
    <cfRule type="expression" dxfId="1440" priority="9285">
      <formula>$C6059="%IN"</formula>
    </cfRule>
    <cfRule type="expression" dxfId="1439" priority="9286" stopIfTrue="1">
      <formula>$E6059=0</formula>
    </cfRule>
  </conditionalFormatting>
  <conditionalFormatting sqref="G6068:G6073">
    <cfRule type="expression" dxfId="1438" priority="9287">
      <formula>$D6068&gt;1</formula>
    </cfRule>
    <cfRule type="expression" dxfId="1437" priority="9288">
      <formula>$C6068="%IN"</formula>
    </cfRule>
    <cfRule type="expression" dxfId="1436" priority="9289" stopIfTrue="1">
      <formula>$E6068=0</formula>
    </cfRule>
  </conditionalFormatting>
  <conditionalFormatting sqref="G6079:G6082">
    <cfRule type="expression" dxfId="1435" priority="9290">
      <formula>$D6079&gt;1</formula>
    </cfRule>
    <cfRule type="expression" dxfId="1434" priority="9291">
      <formula>$C6079="%IN"</formula>
    </cfRule>
    <cfRule type="expression" dxfId="1433" priority="9292" stopIfTrue="1">
      <formula>$E6079=0</formula>
    </cfRule>
  </conditionalFormatting>
  <conditionalFormatting sqref="G6088:G6091">
    <cfRule type="expression" dxfId="1432" priority="9293">
      <formula>$D6088&gt;1</formula>
    </cfRule>
    <cfRule type="expression" dxfId="1431" priority="9294">
      <formula>$C6088="%IN"</formula>
    </cfRule>
    <cfRule type="expression" dxfId="1430" priority="9295" stopIfTrue="1">
      <formula>$E6088=0</formula>
    </cfRule>
  </conditionalFormatting>
  <conditionalFormatting sqref="G6111:G6115">
    <cfRule type="expression" dxfId="1429" priority="9299">
      <formula>$D6111&gt;1</formula>
    </cfRule>
    <cfRule type="expression" dxfId="1428" priority="9300">
      <formula>$C6111="%IN"</formula>
    </cfRule>
    <cfRule type="expression" dxfId="1427" priority="9301" stopIfTrue="1">
      <formula>$E6111=0</formula>
    </cfRule>
  </conditionalFormatting>
  <conditionalFormatting sqref="G6121:G6124">
    <cfRule type="expression" dxfId="1426" priority="9302">
      <formula>$D6121&gt;1</formula>
    </cfRule>
    <cfRule type="expression" dxfId="1425" priority="9303">
      <formula>$C6121="%IN"</formula>
    </cfRule>
    <cfRule type="expression" dxfId="1424" priority="9304" stopIfTrue="1">
      <formula>$E6121=0</formula>
    </cfRule>
  </conditionalFormatting>
  <conditionalFormatting sqref="G6130:G6135">
    <cfRule type="expression" dxfId="1423" priority="9305">
      <formula>$D6130&gt;1</formula>
    </cfRule>
    <cfRule type="expression" dxfId="1422" priority="9306">
      <formula>$C6130="%IN"</formula>
    </cfRule>
    <cfRule type="expression" dxfId="1421" priority="9307" stopIfTrue="1">
      <formula>$E6130=0</formula>
    </cfRule>
  </conditionalFormatting>
  <conditionalFormatting sqref="G6141:G6144">
    <cfRule type="expression" dxfId="1420" priority="9308">
      <formula>$D6141&gt;1</formula>
    </cfRule>
    <cfRule type="expression" dxfId="1419" priority="9309">
      <formula>$C6141="%IN"</formula>
    </cfRule>
    <cfRule type="expression" dxfId="1418" priority="9310" stopIfTrue="1">
      <formula>$E6141=0</formula>
    </cfRule>
  </conditionalFormatting>
  <conditionalFormatting sqref="G6150:G6153">
    <cfRule type="expression" dxfId="1417" priority="9311">
      <formula>$D6150&gt;1</formula>
    </cfRule>
    <cfRule type="expression" dxfId="1416" priority="9312">
      <formula>$C6150="%IN"</formula>
    </cfRule>
    <cfRule type="expression" dxfId="1415" priority="9313" stopIfTrue="1">
      <formula>$E6150=0</formula>
    </cfRule>
  </conditionalFormatting>
  <conditionalFormatting sqref="G6159:G6162">
    <cfRule type="expression" dxfId="1414" priority="9314">
      <formula>$D6159&gt;1</formula>
    </cfRule>
    <cfRule type="expression" dxfId="1413" priority="9315">
      <formula>$C6159="%IN"</formula>
    </cfRule>
    <cfRule type="expression" dxfId="1412" priority="9316" stopIfTrue="1">
      <formula>$E6159=0</formula>
    </cfRule>
  </conditionalFormatting>
  <conditionalFormatting sqref="G6190:G6211">
    <cfRule type="expression" dxfId="1411" priority="9320">
      <formula>$D6190&gt;1</formula>
    </cfRule>
    <cfRule type="expression" dxfId="1410" priority="9321">
      <formula>$C6190="%IN"</formula>
    </cfRule>
    <cfRule type="expression" dxfId="1409" priority="9322" stopIfTrue="1">
      <formula>$E6190=0</formula>
    </cfRule>
  </conditionalFormatting>
  <conditionalFormatting sqref="G6217:G6240">
    <cfRule type="expression" dxfId="1408" priority="9323">
      <formula>$D6217&gt;1</formula>
    </cfRule>
    <cfRule type="expression" dxfId="1407" priority="9324">
      <formula>$C6217="%IN"</formula>
    </cfRule>
    <cfRule type="expression" dxfId="1406" priority="9325" stopIfTrue="1">
      <formula>$E6217=0</formula>
    </cfRule>
  </conditionalFormatting>
  <conditionalFormatting sqref="G6246:G6249">
    <cfRule type="expression" dxfId="1405" priority="9326">
      <formula>$D6246&gt;1</formula>
    </cfRule>
    <cfRule type="expression" dxfId="1404" priority="9327">
      <formula>$C6246="%IN"</formula>
    </cfRule>
    <cfRule type="expression" dxfId="1403" priority="9328" stopIfTrue="1">
      <formula>$E6246=0</formula>
    </cfRule>
  </conditionalFormatting>
  <conditionalFormatting sqref="G13:G17">
    <cfRule type="expression" dxfId="1402" priority="9329">
      <formula>$D13&gt;1</formula>
    </cfRule>
    <cfRule type="expression" dxfId="1401" priority="9330">
      <formula>$C13="%IN"</formula>
    </cfRule>
    <cfRule type="expression" dxfId="1400" priority="9331" stopIfTrue="1">
      <formula>$E13=0</formula>
    </cfRule>
  </conditionalFormatting>
  <conditionalFormatting sqref="I448">
    <cfRule type="expression" dxfId="1399" priority="424" stopIfTrue="1">
      <formula>$I448="适用"</formula>
    </cfRule>
    <cfRule type="expression" dxfId="1398" priority="425" stopIfTrue="1">
      <formula>$I448="不适用"</formula>
    </cfRule>
  </conditionalFormatting>
  <conditionalFormatting sqref="I762">
    <cfRule type="expression" dxfId="1397" priority="407" stopIfTrue="1">
      <formula>$I762="适用"</formula>
    </cfRule>
    <cfRule type="expression" dxfId="1396" priority="408" stopIfTrue="1">
      <formula>$I762="不适用"</formula>
    </cfRule>
  </conditionalFormatting>
  <conditionalFormatting sqref="Q762:Q777">
    <cfRule type="expression" dxfId="1395" priority="406" stopIfTrue="1">
      <formula>$Q762="请输入"</formula>
    </cfRule>
  </conditionalFormatting>
  <conditionalFormatting sqref="L1057">
    <cfRule type="expression" dxfId="1394" priority="9338" stopIfTrue="1">
      <formula>OR($L$1057="F/S",$L$1057="")</formula>
    </cfRule>
    <cfRule type="cellIs" dxfId="1393" priority="9339" stopIfTrue="1" operator="notEqual">
      <formula>0</formula>
    </cfRule>
  </conditionalFormatting>
  <conditionalFormatting sqref="O1057">
    <cfRule type="expression" dxfId="1392" priority="9340" stopIfTrue="1">
      <formula>OR($O$1057="F/S",$O$1057="")</formula>
    </cfRule>
    <cfRule type="cellIs" dxfId="1391" priority="9341" stopIfTrue="1" operator="notEqual">
      <formula>0</formula>
    </cfRule>
  </conditionalFormatting>
  <conditionalFormatting sqref="G4989:G4998">
    <cfRule type="expression" dxfId="1390" priority="9345">
      <formula>$D4989&gt;1</formula>
    </cfRule>
    <cfRule type="expression" dxfId="1389" priority="9346">
      <formula>$C4989="%IN"</formula>
    </cfRule>
    <cfRule type="expression" dxfId="1388" priority="9347" stopIfTrue="1">
      <formula>$E4989=0</formula>
    </cfRule>
  </conditionalFormatting>
  <conditionalFormatting sqref="G6097:G6105">
    <cfRule type="expression" dxfId="1387" priority="9348">
      <formula>$D6097&gt;1</formula>
    </cfRule>
    <cfRule type="expression" dxfId="1386" priority="9349">
      <formula>$C6097="%IN"</formula>
    </cfRule>
    <cfRule type="expression" dxfId="1385" priority="9350" stopIfTrue="1">
      <formula>$E6097=0</formula>
    </cfRule>
  </conditionalFormatting>
  <conditionalFormatting sqref="G5392:G5419">
    <cfRule type="expression" dxfId="1384" priority="9351">
      <formula>$D5392&gt;1</formula>
    </cfRule>
    <cfRule type="expression" dxfId="1383" priority="9352">
      <formula>$C5392="%IN"</formula>
    </cfRule>
    <cfRule type="expression" dxfId="1382" priority="9353" stopIfTrue="1">
      <formula>$E5392=0</formula>
    </cfRule>
  </conditionalFormatting>
  <conditionalFormatting sqref="G5426:G5453">
    <cfRule type="expression" dxfId="1381" priority="9354">
      <formula>$D5426&gt;1</formula>
    </cfRule>
    <cfRule type="expression" dxfId="1380" priority="9355">
      <formula>$C5426="%IN"</formula>
    </cfRule>
    <cfRule type="expression" dxfId="1379" priority="9356" stopIfTrue="1">
      <formula>$E5426=0</formula>
    </cfRule>
  </conditionalFormatting>
  <conditionalFormatting sqref="G3735">
    <cfRule type="expression" dxfId="1378" priority="389">
      <formula>$D3735&gt;1</formula>
    </cfRule>
    <cfRule type="expression" dxfId="1377" priority="390">
      <formula>$C3735="%IN"</formula>
    </cfRule>
    <cfRule type="expression" dxfId="1376" priority="391" stopIfTrue="1">
      <formula>$E3735=0</formula>
    </cfRule>
  </conditionalFormatting>
  <conditionalFormatting sqref="L1079:L1100">
    <cfRule type="expression" dxfId="1375" priority="9360" stopIfTrue="1">
      <formula>OR($L$1079="F/S",$L$1079="")</formula>
    </cfRule>
    <cfRule type="cellIs" dxfId="1374" priority="9361" stopIfTrue="1" operator="notEqual">
      <formula>0</formula>
    </cfRule>
  </conditionalFormatting>
  <conditionalFormatting sqref="O1079:O1100">
    <cfRule type="expression" dxfId="1373" priority="9362" stopIfTrue="1">
      <formula>OR($O$1079="F/S",$O$1079="")</formula>
    </cfRule>
    <cfRule type="cellIs" dxfId="1372" priority="9363" stopIfTrue="1" operator="notEqual">
      <formula>0</formula>
    </cfRule>
  </conditionalFormatting>
  <conditionalFormatting sqref="L1101:L1115">
    <cfRule type="expression" dxfId="1371" priority="9367" stopIfTrue="1">
      <formula>OR($L$1101="F/S",$L$1101="")</formula>
    </cfRule>
    <cfRule type="cellIs" dxfId="1370" priority="9368" stopIfTrue="1" operator="notEqual">
      <formula>0</formula>
    </cfRule>
  </conditionalFormatting>
  <conditionalFormatting sqref="O1101:O1115">
    <cfRule type="expression" dxfId="1369" priority="9369" stopIfTrue="1">
      <formula>OR($O$1101="F/S",$O$1101="")</formula>
    </cfRule>
    <cfRule type="cellIs" dxfId="1368" priority="9370" stopIfTrue="1" operator="notEqual">
      <formula>0</formula>
    </cfRule>
  </conditionalFormatting>
  <conditionalFormatting sqref="L415">
    <cfRule type="expression" dxfId="1367" priority="9380" stopIfTrue="1">
      <formula>OR($L$415="F/S",$L$415="")</formula>
    </cfRule>
    <cfRule type="cellIs" dxfId="1366" priority="9381" stopIfTrue="1" operator="notEqual">
      <formula>0</formula>
    </cfRule>
  </conditionalFormatting>
  <conditionalFormatting sqref="O415">
    <cfRule type="expression" dxfId="1365" priority="9382" stopIfTrue="1">
      <formula>OR($O$415="F/S",$O$415="")</formula>
    </cfRule>
    <cfRule type="cellIs" dxfId="1364" priority="9383" stopIfTrue="1" operator="notEqual">
      <formula>0</formula>
    </cfRule>
  </conditionalFormatting>
  <conditionalFormatting sqref="I415">
    <cfRule type="expression" dxfId="1363" priority="373" stopIfTrue="1">
      <formula>$I415="适用"</formula>
    </cfRule>
    <cfRule type="expression" dxfId="1362" priority="374" stopIfTrue="1">
      <formula>$I415="不适用"</formula>
    </cfRule>
  </conditionalFormatting>
  <conditionalFormatting sqref="Q415">
    <cfRule type="expression" dxfId="1361" priority="372" stopIfTrue="1">
      <formula>$Q415="请输入"</formula>
    </cfRule>
  </conditionalFormatting>
  <conditionalFormatting sqref="G3457:G3462">
    <cfRule type="expression" dxfId="1360" priority="9387">
      <formula>$D3457&gt;1</formula>
    </cfRule>
    <cfRule type="expression" dxfId="1359" priority="9388">
      <formula>$C3457="%IN"</formula>
    </cfRule>
    <cfRule type="expression" dxfId="1358" priority="9389" stopIfTrue="1">
      <formula>$E3457=0</formula>
    </cfRule>
  </conditionalFormatting>
  <conditionalFormatting sqref="G3842:G3847">
    <cfRule type="expression" dxfId="1357" priority="9393">
      <formula>$D3842&gt;1</formula>
    </cfRule>
    <cfRule type="expression" dxfId="1356" priority="9394">
      <formula>$C3842="%IN"</formula>
    </cfRule>
    <cfRule type="expression" dxfId="1355" priority="9395" stopIfTrue="1">
      <formula>$E3842=0</formula>
    </cfRule>
  </conditionalFormatting>
  <conditionalFormatting sqref="G62:G67">
    <cfRule type="expression" dxfId="1354" priority="9396">
      <formula>$D62&gt;1</formula>
    </cfRule>
    <cfRule type="expression" dxfId="1353" priority="9397">
      <formula>$C62="%IN"</formula>
    </cfRule>
    <cfRule type="expression" dxfId="1352" priority="9398" stopIfTrue="1">
      <formula>$E62=0</formula>
    </cfRule>
  </conditionalFormatting>
  <conditionalFormatting sqref="G671:G676">
    <cfRule type="expression" dxfId="1351" priority="9399">
      <formula>$D671&gt;1</formula>
    </cfRule>
    <cfRule type="expression" dxfId="1350" priority="9400">
      <formula>$C671="%IN"</formula>
    </cfRule>
    <cfRule type="expression" dxfId="1349" priority="9401" stopIfTrue="1">
      <formula>$E671=0</formula>
    </cfRule>
  </conditionalFormatting>
  <conditionalFormatting sqref="G3373:G3378">
    <cfRule type="expression" dxfId="1348" priority="9402">
      <formula>$D3373&gt;1</formula>
    </cfRule>
    <cfRule type="expression" dxfId="1347" priority="9403">
      <formula>$C3373="%IN"</formula>
    </cfRule>
    <cfRule type="expression" dxfId="1346" priority="9404" stopIfTrue="1">
      <formula>$E3373=0</formula>
    </cfRule>
  </conditionalFormatting>
  <conditionalFormatting sqref="G3484:G3489">
    <cfRule type="expression" dxfId="1345" priority="9405">
      <formula>$D3484&gt;1</formula>
    </cfRule>
    <cfRule type="expression" dxfId="1344" priority="9406">
      <formula>$C3484="%IN"</formula>
    </cfRule>
    <cfRule type="expression" dxfId="1343" priority="9407" stopIfTrue="1">
      <formula>$E3484=0</formula>
    </cfRule>
  </conditionalFormatting>
  <conditionalFormatting sqref="G3879:G3884">
    <cfRule type="expression" dxfId="1342" priority="9408">
      <formula>$D3879&gt;1</formula>
    </cfRule>
    <cfRule type="expression" dxfId="1341" priority="9409">
      <formula>$C3879="%IN"</formula>
    </cfRule>
    <cfRule type="expression" dxfId="1340" priority="9410" stopIfTrue="1">
      <formula>$E3879=0</formula>
    </cfRule>
  </conditionalFormatting>
  <conditionalFormatting sqref="G2194:G2199">
    <cfRule type="expression" dxfId="1339" priority="9411">
      <formula>$D2194&gt;1</formula>
    </cfRule>
    <cfRule type="expression" dxfId="1338" priority="9412">
      <formula>$C2194="%IN"</formula>
    </cfRule>
    <cfRule type="expression" dxfId="1337" priority="9413" stopIfTrue="1">
      <formula>$E2194=0</formula>
    </cfRule>
  </conditionalFormatting>
  <conditionalFormatting sqref="G4139:G4144">
    <cfRule type="expression" dxfId="1336" priority="9414">
      <formula>$D4139&gt;1</formula>
    </cfRule>
    <cfRule type="expression" dxfId="1335" priority="9415">
      <formula>$C4139="%IN"</formula>
    </cfRule>
    <cfRule type="expression" dxfId="1334" priority="9416" stopIfTrue="1">
      <formula>$E4139=0</formula>
    </cfRule>
  </conditionalFormatting>
  <conditionalFormatting sqref="G4160:G4165">
    <cfRule type="expression" dxfId="1333" priority="9417">
      <formula>$D4160&gt;1</formula>
    </cfRule>
    <cfRule type="expression" dxfId="1332" priority="9418">
      <formula>$C4160="%IN"</formula>
    </cfRule>
    <cfRule type="expression" dxfId="1331" priority="9419" stopIfTrue="1">
      <formula>$E4160=0</formula>
    </cfRule>
  </conditionalFormatting>
  <conditionalFormatting sqref="G2404:G2409">
    <cfRule type="expression" dxfId="1330" priority="9420">
      <formula>$D2404&gt;1</formula>
    </cfRule>
    <cfRule type="expression" dxfId="1329" priority="9421">
      <formula>$C2404="%IN"</formula>
    </cfRule>
    <cfRule type="expression" dxfId="1328" priority="9422" stopIfTrue="1">
      <formula>$E2404=0</formula>
    </cfRule>
  </conditionalFormatting>
  <conditionalFormatting sqref="L306:L307 L310:L315">
    <cfRule type="expression" dxfId="1327" priority="9423" stopIfTrue="1">
      <formula>OR($L$306="F/S",$L$306="")</formula>
    </cfRule>
    <cfRule type="cellIs" dxfId="1326" priority="9424" stopIfTrue="1" operator="notEqual">
      <formula>0</formula>
    </cfRule>
  </conditionalFormatting>
  <conditionalFormatting sqref="O306:O315">
    <cfRule type="expression" dxfId="1325" priority="9425" stopIfTrue="1">
      <formula>OR($O$306="F/S",$O$306="")</formula>
    </cfRule>
    <cfRule type="cellIs" dxfId="1324" priority="9426" stopIfTrue="1" operator="notEqual">
      <formula>0</formula>
    </cfRule>
  </conditionalFormatting>
  <conditionalFormatting sqref="I306">
    <cfRule type="expression" dxfId="1323" priority="354" stopIfTrue="1">
      <formula>$I306="适用"</formula>
    </cfRule>
    <cfRule type="expression" dxfId="1322" priority="355" stopIfTrue="1">
      <formula>$I306="不适用"</formula>
    </cfRule>
  </conditionalFormatting>
  <conditionalFormatting sqref="G309:G314">
    <cfRule type="expression" dxfId="1321" priority="9427">
      <formula>$D309&gt;1</formula>
    </cfRule>
    <cfRule type="expression" dxfId="1320" priority="9428">
      <formula>$C309="%IN"</formula>
    </cfRule>
    <cfRule type="expression" dxfId="1319" priority="9429" stopIfTrue="1">
      <formula>$E309=0</formula>
    </cfRule>
  </conditionalFormatting>
  <conditionalFormatting sqref="L2191:L2192 L2195:L2200">
    <cfRule type="expression" dxfId="1318" priority="9430" stopIfTrue="1">
      <formula>OR($L$2191="F/S",$L$2191="")</formula>
    </cfRule>
    <cfRule type="cellIs" dxfId="1317" priority="9431" stopIfTrue="1" operator="notEqual">
      <formula>0</formula>
    </cfRule>
  </conditionalFormatting>
  <conditionalFormatting sqref="O2191:O2200">
    <cfRule type="expression" dxfId="1316" priority="9432" stopIfTrue="1">
      <formula>OR($O$2191="F/S",$O$2191="")</formula>
    </cfRule>
    <cfRule type="cellIs" dxfId="1315" priority="9433" stopIfTrue="1" operator="notEqual">
      <formula>0</formula>
    </cfRule>
  </conditionalFormatting>
  <conditionalFormatting sqref="L4096:L4098 L4100:L4105">
    <cfRule type="expression" dxfId="1314" priority="9434" stopIfTrue="1">
      <formula>OR($L$4096="F/S",$L$4096="")</formula>
    </cfRule>
    <cfRule type="cellIs" dxfId="1313" priority="9435" stopIfTrue="1" operator="notEqual">
      <formula>0</formula>
    </cfRule>
  </conditionalFormatting>
  <conditionalFormatting sqref="O4096:O4105">
    <cfRule type="expression" dxfId="1312" priority="9436" stopIfTrue="1">
      <formula>OR($O$4096="F/S",$O$4096="")</formula>
    </cfRule>
    <cfRule type="cellIs" dxfId="1311" priority="9437" stopIfTrue="1" operator="notEqual">
      <formula>0</formula>
    </cfRule>
  </conditionalFormatting>
  <conditionalFormatting sqref="I4096">
    <cfRule type="expression" dxfId="1310" priority="334" stopIfTrue="1">
      <formula>$I4096="适用"</formula>
    </cfRule>
    <cfRule type="expression" dxfId="1309" priority="335" stopIfTrue="1">
      <formula>$I4096="不适用"</formula>
    </cfRule>
  </conditionalFormatting>
  <conditionalFormatting sqref="G4099:G4104">
    <cfRule type="expression" dxfId="1308" priority="9438">
      <formula>$D4099&gt;1</formula>
    </cfRule>
    <cfRule type="expression" dxfId="1307" priority="9439">
      <formula>$C4099="%IN"</formula>
    </cfRule>
    <cfRule type="expression" dxfId="1306" priority="9440" stopIfTrue="1">
      <formula>$E4099=0</formula>
    </cfRule>
  </conditionalFormatting>
  <conditionalFormatting sqref="G681:G686">
    <cfRule type="expression" dxfId="1305" priority="9441">
      <formula>$D681&gt;1</formula>
    </cfRule>
    <cfRule type="expression" dxfId="1304" priority="9442">
      <formula>$C681="%IN"</formula>
    </cfRule>
    <cfRule type="expression" dxfId="1303" priority="9443" stopIfTrue="1">
      <formula>$E681=0</formula>
    </cfRule>
  </conditionalFormatting>
  <conditionalFormatting sqref="G1590:G1595">
    <cfRule type="expression" dxfId="1302" priority="9447">
      <formula>$D1590&gt;1</formula>
    </cfRule>
    <cfRule type="expression" dxfId="1301" priority="9448">
      <formula>$C1590="%IN"</formula>
    </cfRule>
    <cfRule type="expression" dxfId="1300" priority="9449" stopIfTrue="1">
      <formula>$E1590=0</formula>
    </cfRule>
  </conditionalFormatting>
  <conditionalFormatting sqref="G1600:G1605">
    <cfRule type="expression" dxfId="1299" priority="9450">
      <formula>$D1600&gt;1</formula>
    </cfRule>
    <cfRule type="expression" dxfId="1298" priority="9451">
      <formula>$C1600="%IN"</formula>
    </cfRule>
    <cfRule type="expression" dxfId="1297" priority="9452" stopIfTrue="1">
      <formula>$E1600=0</formula>
    </cfRule>
  </conditionalFormatting>
  <conditionalFormatting sqref="G3494:G3499">
    <cfRule type="expression" dxfId="1296" priority="9453">
      <formula>$D3494&gt;1</formula>
    </cfRule>
    <cfRule type="expression" dxfId="1295" priority="9454">
      <formula>$C3494="%IN"</formula>
    </cfRule>
    <cfRule type="expression" dxfId="1294" priority="9455" stopIfTrue="1">
      <formula>$E3494=0</formula>
    </cfRule>
  </conditionalFormatting>
  <conditionalFormatting sqref="G3591:G3596">
    <cfRule type="expression" dxfId="1293" priority="9456">
      <formula>$D3591&gt;1</formula>
    </cfRule>
    <cfRule type="expression" dxfId="1292" priority="9457">
      <formula>$C3591="%IN"</formula>
    </cfRule>
    <cfRule type="expression" dxfId="1291" priority="9458" stopIfTrue="1">
      <formula>$E3591=0</formula>
    </cfRule>
  </conditionalFormatting>
  <conditionalFormatting sqref="G3889:G3894">
    <cfRule type="expression" dxfId="1290" priority="9459">
      <formula>$D3889&gt;1</formula>
    </cfRule>
    <cfRule type="expression" dxfId="1289" priority="9460">
      <formula>$C3889="%IN"</formula>
    </cfRule>
    <cfRule type="expression" dxfId="1288" priority="9461" stopIfTrue="1">
      <formula>$E3889=0</formula>
    </cfRule>
  </conditionalFormatting>
  <conditionalFormatting sqref="I2530">
    <cfRule type="expression" dxfId="1287" priority="324" stopIfTrue="1">
      <formula>$I2530="适用"</formula>
    </cfRule>
    <cfRule type="expression" dxfId="1286" priority="325" stopIfTrue="1">
      <formula>$I2530="不适用"</formula>
    </cfRule>
  </conditionalFormatting>
  <conditionalFormatting sqref="Q2530:Q2555">
    <cfRule type="expression" dxfId="1285" priority="323" stopIfTrue="1">
      <formula>$Q2530="请输入"</formula>
    </cfRule>
  </conditionalFormatting>
  <conditionalFormatting sqref="L2543:L2544 L2546:L2555">
    <cfRule type="expression" dxfId="1284" priority="9465" stopIfTrue="1">
      <formula>OR($L$2543="F/S",$L$2543="")</formula>
    </cfRule>
    <cfRule type="cellIs" dxfId="1283" priority="9466" stopIfTrue="1" operator="notEqual">
      <formula>0</formula>
    </cfRule>
  </conditionalFormatting>
  <conditionalFormatting sqref="O2543:O2555">
    <cfRule type="expression" dxfId="1282" priority="9467" stopIfTrue="1">
      <formula>OR($O$2543="F/S",$O$2543="")</formula>
    </cfRule>
    <cfRule type="cellIs" dxfId="1281" priority="9468" stopIfTrue="1" operator="notEqual">
      <formula>0</formula>
    </cfRule>
  </conditionalFormatting>
  <conditionalFormatting sqref="I2543">
    <cfRule type="expression" dxfId="1280" priority="317" stopIfTrue="1">
      <formula>$I2543="适用"</formula>
    </cfRule>
    <cfRule type="expression" dxfId="1279" priority="318" stopIfTrue="1">
      <formula>$I2543="不适用"</formula>
    </cfRule>
  </conditionalFormatting>
  <conditionalFormatting sqref="Q2543:Q2555">
    <cfRule type="expression" dxfId="1278" priority="316" stopIfTrue="1">
      <formula>$Q2543="请输入"</formula>
    </cfRule>
  </conditionalFormatting>
  <conditionalFormatting sqref="G2533:G2541">
    <cfRule type="expression" dxfId="1277" priority="9472">
      <formula>$D2533&gt;1</formula>
    </cfRule>
    <cfRule type="expression" dxfId="1276" priority="9473">
      <formula>$C2533="%IN"</formula>
    </cfRule>
    <cfRule type="expression" dxfId="1275" priority="9474" stopIfTrue="1">
      <formula>$E2533=0</formula>
    </cfRule>
  </conditionalFormatting>
  <conditionalFormatting sqref="G2546:G2554">
    <cfRule type="expression" dxfId="1274" priority="9475">
      <formula>$D2546&gt;1</formula>
    </cfRule>
    <cfRule type="expression" dxfId="1273" priority="9476">
      <formula>$C2546="%IN"</formula>
    </cfRule>
    <cfRule type="expression" dxfId="1272" priority="9477" stopIfTrue="1">
      <formula>$E2546=0</formula>
    </cfRule>
  </conditionalFormatting>
  <conditionalFormatting sqref="L1502:L1509 L1491:L1493 L1496:L1497">
    <cfRule type="expression" dxfId="1271" priority="9481" stopIfTrue="1">
      <formula>OR($L$1491="F/S",$L$1491="")</formula>
    </cfRule>
    <cfRule type="cellIs" dxfId="1270" priority="9482" stopIfTrue="1" operator="notEqual">
      <formula>0</formula>
    </cfRule>
  </conditionalFormatting>
  <conditionalFormatting sqref="O1491:O1509">
    <cfRule type="expression" dxfId="1269" priority="9483" stopIfTrue="1">
      <formula>OR($O$1491="F/S",$O$1491="")</formula>
    </cfRule>
    <cfRule type="cellIs" dxfId="1268" priority="9484" stopIfTrue="1" operator="notEqual">
      <formula>0</formula>
    </cfRule>
  </conditionalFormatting>
  <conditionalFormatting sqref="L2412">
    <cfRule type="expression" dxfId="1267" priority="9488" stopIfTrue="1">
      <formula>OR($L$2412="F/S",$L$2412="")</formula>
    </cfRule>
    <cfRule type="cellIs" dxfId="1266" priority="9489" stopIfTrue="1" operator="notEqual">
      <formula>0</formula>
    </cfRule>
  </conditionalFormatting>
  <conditionalFormatting sqref="O2412:O2430">
    <cfRule type="expression" dxfId="1265" priority="9490" stopIfTrue="1">
      <formula>OR($O$2412="F/S",$O$2412="")</formula>
    </cfRule>
    <cfRule type="cellIs" dxfId="1264" priority="9491" stopIfTrue="1" operator="notEqual">
      <formula>0</formula>
    </cfRule>
  </conditionalFormatting>
  <conditionalFormatting sqref="I2412">
    <cfRule type="expression" dxfId="1263" priority="297" stopIfTrue="1">
      <formula>$I2412="适用"</formula>
    </cfRule>
    <cfRule type="expression" dxfId="1262" priority="298" stopIfTrue="1">
      <formula>$I2412="不适用"</formula>
    </cfRule>
  </conditionalFormatting>
  <conditionalFormatting sqref="G2417:G2422">
    <cfRule type="expression" dxfId="1261" priority="9492">
      <formula>$D2417&gt;1</formula>
    </cfRule>
    <cfRule type="expression" dxfId="1260" priority="9493">
      <formula>$C2417="%IN"</formula>
    </cfRule>
    <cfRule type="expression" dxfId="1259" priority="9494" stopIfTrue="1">
      <formula>$E2417=0</formula>
    </cfRule>
  </conditionalFormatting>
  <conditionalFormatting sqref="L2431">
    <cfRule type="expression" dxfId="1258" priority="9495" stopIfTrue="1">
      <formula>OR($L$2431="F/S",$L$2431="")</formula>
    </cfRule>
    <cfRule type="cellIs" dxfId="1257" priority="9496" stopIfTrue="1" operator="notEqual">
      <formula>0</formula>
    </cfRule>
  </conditionalFormatting>
  <conditionalFormatting sqref="O2431:O2462">
    <cfRule type="expression" dxfId="1256" priority="9497" stopIfTrue="1">
      <formula>OR($O$2431="F/S",$O$2431="")</formula>
    </cfRule>
    <cfRule type="cellIs" dxfId="1255" priority="9498" stopIfTrue="1" operator="notEqual">
      <formula>0</formula>
    </cfRule>
  </conditionalFormatting>
  <conditionalFormatting sqref="I2431">
    <cfRule type="expression" dxfId="1254" priority="290" stopIfTrue="1">
      <formula>$I2431="适用"</formula>
    </cfRule>
    <cfRule type="expression" dxfId="1253" priority="291" stopIfTrue="1">
      <formula>$I2431="不适用"</formula>
    </cfRule>
  </conditionalFormatting>
  <conditionalFormatting sqref="G2434:G2454">
    <cfRule type="expression" dxfId="1252" priority="9499">
      <formula>$D2434&gt;1</formula>
    </cfRule>
    <cfRule type="expression" dxfId="1251" priority="9500">
      <formula>$C2434="%IN"</formula>
    </cfRule>
    <cfRule type="expression" dxfId="1250" priority="9501" stopIfTrue="1">
      <formula>$E2434=0</formula>
    </cfRule>
  </conditionalFormatting>
  <conditionalFormatting sqref="L1027:L1028 L1036:L1042">
    <cfRule type="expression" dxfId="1249" priority="9505" stopIfTrue="1">
      <formula>OR($L$1027="F/S",$L$1027="")</formula>
    </cfRule>
    <cfRule type="cellIs" dxfId="1248" priority="9506" stopIfTrue="1" operator="notEqual">
      <formula>0</formula>
    </cfRule>
  </conditionalFormatting>
  <conditionalFormatting sqref="O1027:O1042">
    <cfRule type="expression" dxfId="1247" priority="9507" stopIfTrue="1">
      <formula>OR($O$1027="F/S",$O$1027="")</formula>
    </cfRule>
    <cfRule type="cellIs" dxfId="1246" priority="9508" stopIfTrue="1" operator="notEqual">
      <formula>0</formula>
    </cfRule>
  </conditionalFormatting>
  <conditionalFormatting sqref="I1027">
    <cfRule type="expression" dxfId="1245" priority="283" stopIfTrue="1">
      <formula>$I1027="适用"</formula>
    </cfRule>
    <cfRule type="expression" dxfId="1244" priority="284" stopIfTrue="1">
      <formula>$I1027="不适用"</formula>
    </cfRule>
  </conditionalFormatting>
  <conditionalFormatting sqref="I1131">
    <cfRule type="expression" dxfId="1243" priority="276" stopIfTrue="1">
      <formula>$I1131="适用"</formula>
    </cfRule>
    <cfRule type="expression" dxfId="1242" priority="277" stopIfTrue="1">
      <formula>$I1131="不适用"</formula>
    </cfRule>
  </conditionalFormatting>
  <conditionalFormatting sqref="Q1131:Q1218">
    <cfRule type="expression" dxfId="1241" priority="275" stopIfTrue="1">
      <formula>$Q1131="请输入"</formula>
    </cfRule>
  </conditionalFormatting>
  <conditionalFormatting sqref="L1145:L1147 L1149:L1166 L1237 L1234:L1235">
    <cfRule type="expression" dxfId="1240" priority="9521" stopIfTrue="1">
      <formula>OR($L$1145="F/S",$L$1145="")</formula>
    </cfRule>
    <cfRule type="cellIs" dxfId="1239" priority="9522" stopIfTrue="1" operator="notEqual">
      <formula>0</formula>
    </cfRule>
  </conditionalFormatting>
  <conditionalFormatting sqref="O1145:O1166">
    <cfRule type="expression" dxfId="1238" priority="9523" stopIfTrue="1">
      <formula>OR($O$1145="F/S",$O$1145="")</formula>
    </cfRule>
    <cfRule type="cellIs" dxfId="1237" priority="9524" stopIfTrue="1" operator="notEqual">
      <formula>0</formula>
    </cfRule>
  </conditionalFormatting>
  <conditionalFormatting sqref="I1145">
    <cfRule type="expression" dxfId="1236" priority="266" stopIfTrue="1">
      <formula>$I1145="适用"</formula>
    </cfRule>
    <cfRule type="expression" dxfId="1235" priority="267" stopIfTrue="1">
      <formula>$I1145="不适用"</formula>
    </cfRule>
  </conditionalFormatting>
  <conditionalFormatting sqref="Q1145:Q1218">
    <cfRule type="expression" dxfId="1234" priority="265" stopIfTrue="1">
      <formula>$Q1145="请输入"</formula>
    </cfRule>
  </conditionalFormatting>
  <conditionalFormatting sqref="L1167:L1188">
    <cfRule type="expression" dxfId="1233" priority="9528" stopIfTrue="1">
      <formula>OR($L$1167="F/S",$L$1167="")</formula>
    </cfRule>
    <cfRule type="cellIs" dxfId="1232" priority="9529" stopIfTrue="1" operator="notEqual">
      <formula>0</formula>
    </cfRule>
  </conditionalFormatting>
  <conditionalFormatting sqref="O1167:O1188">
    <cfRule type="expression" dxfId="1231" priority="9530" stopIfTrue="1">
      <formula>OR($O$1167="F/S",$O$1167="")</formula>
    </cfRule>
    <cfRule type="cellIs" dxfId="1230" priority="9531" stopIfTrue="1" operator="notEqual">
      <formula>0</formula>
    </cfRule>
  </conditionalFormatting>
  <conditionalFormatting sqref="I1167">
    <cfRule type="expression" dxfId="1229" priority="259" stopIfTrue="1">
      <formula>$I1167="适用"</formula>
    </cfRule>
    <cfRule type="expression" dxfId="1228" priority="260" stopIfTrue="1">
      <formula>$I1167="不适用"</formula>
    </cfRule>
  </conditionalFormatting>
  <conditionalFormatting sqref="Q1167:Q1218">
    <cfRule type="expression" dxfId="1227" priority="258" stopIfTrue="1">
      <formula>$Q1167="请输入"</formula>
    </cfRule>
  </conditionalFormatting>
  <conditionalFormatting sqref="L1189:L1203">
    <cfRule type="expression" dxfId="1226" priority="9535" stopIfTrue="1">
      <formula>OR($L$1189="F/S",$L$1189="")</formula>
    </cfRule>
    <cfRule type="cellIs" dxfId="1225" priority="9536" stopIfTrue="1" operator="notEqual">
      <formula>0</formula>
    </cfRule>
  </conditionalFormatting>
  <conditionalFormatting sqref="O1189:O1203">
    <cfRule type="expression" dxfId="1224" priority="9537" stopIfTrue="1">
      <formula>OR($O$1189="F/S",$O$1189="")</formula>
    </cfRule>
    <cfRule type="cellIs" dxfId="1223" priority="9538" stopIfTrue="1" operator="notEqual">
      <formula>0</formula>
    </cfRule>
  </conditionalFormatting>
  <conditionalFormatting sqref="I1189">
    <cfRule type="expression" dxfId="1222" priority="252" stopIfTrue="1">
      <formula>$I1189="适用"</formula>
    </cfRule>
    <cfRule type="expression" dxfId="1221" priority="253" stopIfTrue="1">
      <formula>$I1189="不适用"</formula>
    </cfRule>
  </conditionalFormatting>
  <conditionalFormatting sqref="Q1189:Q1218">
    <cfRule type="expression" dxfId="1220" priority="251" stopIfTrue="1">
      <formula>$Q1189="请输入"</formula>
    </cfRule>
  </conditionalFormatting>
  <conditionalFormatting sqref="L1204:L1218">
    <cfRule type="expression" dxfId="1219" priority="9542" stopIfTrue="1">
      <formula>OR($L$1204="F/S",$L$1204="")</formula>
    </cfRule>
    <cfRule type="cellIs" dxfId="1218" priority="9543" stopIfTrue="1" operator="notEqual">
      <formula>0</formula>
    </cfRule>
  </conditionalFormatting>
  <conditionalFormatting sqref="O1204:O1218">
    <cfRule type="expression" dxfId="1217" priority="9544" stopIfTrue="1">
      <formula>OR($O$1204="F/S",$O$1204="")</formula>
    </cfRule>
    <cfRule type="cellIs" dxfId="1216" priority="9545" stopIfTrue="1" operator="notEqual">
      <formula>0</formula>
    </cfRule>
  </conditionalFormatting>
  <conditionalFormatting sqref="I1204">
    <cfRule type="expression" dxfId="1215" priority="245" stopIfTrue="1">
      <formula>$I1204="适用"</formula>
    </cfRule>
    <cfRule type="expression" dxfId="1214" priority="246" stopIfTrue="1">
      <formula>$I1204="不适用"</formula>
    </cfRule>
  </conditionalFormatting>
  <conditionalFormatting sqref="Q1204:Q1218">
    <cfRule type="expression" dxfId="1213" priority="244" stopIfTrue="1">
      <formula>$Q1204="请输入"</formula>
    </cfRule>
  </conditionalFormatting>
  <conditionalFormatting sqref="L1233:L1247 L1252:L1254">
    <cfRule type="expression" dxfId="1212" priority="9549" stopIfTrue="1">
      <formula>OR($L$1233="F/S",$L$1233="")</formula>
    </cfRule>
    <cfRule type="cellIs" dxfId="1211" priority="9550" stopIfTrue="1" operator="notEqual">
      <formula>0</formula>
    </cfRule>
  </conditionalFormatting>
  <conditionalFormatting sqref="O1233:O1254">
    <cfRule type="expression" dxfId="1210" priority="9551" stopIfTrue="1">
      <formula>OR($O$1233="F/S",$O$1233="")</formula>
    </cfRule>
    <cfRule type="cellIs" dxfId="1209" priority="9552" stopIfTrue="1" operator="notEqual">
      <formula>0</formula>
    </cfRule>
  </conditionalFormatting>
  <conditionalFormatting sqref="I1233">
    <cfRule type="expression" dxfId="1208" priority="238" stopIfTrue="1">
      <formula>$I1233="适用"</formula>
    </cfRule>
    <cfRule type="expression" dxfId="1207" priority="239" stopIfTrue="1">
      <formula>$I1233="不适用"</formula>
    </cfRule>
  </conditionalFormatting>
  <conditionalFormatting sqref="Q1233:Q1306">
    <cfRule type="expression" dxfId="1206" priority="237" stopIfTrue="1">
      <formula>$Q1233="请输入"</formula>
    </cfRule>
  </conditionalFormatting>
  <conditionalFormatting sqref="L1255:L1276">
    <cfRule type="expression" dxfId="1205" priority="9556" stopIfTrue="1">
      <formula>OR($L$1255="F/S",$L$1255="")</formula>
    </cfRule>
    <cfRule type="cellIs" dxfId="1204" priority="9557" stopIfTrue="1" operator="notEqual">
      <formula>0</formula>
    </cfRule>
  </conditionalFormatting>
  <conditionalFormatting sqref="O1255:O1276">
    <cfRule type="expression" dxfId="1203" priority="9558" stopIfTrue="1">
      <formula>OR($O$1255="F/S",$O$1255="")</formula>
    </cfRule>
    <cfRule type="cellIs" dxfId="1202" priority="9559" stopIfTrue="1" operator="notEqual">
      <formula>0</formula>
    </cfRule>
  </conditionalFormatting>
  <conditionalFormatting sqref="I1255">
    <cfRule type="expression" dxfId="1201" priority="231" stopIfTrue="1">
      <formula>$I1255="适用"</formula>
    </cfRule>
    <cfRule type="expression" dxfId="1200" priority="232" stopIfTrue="1">
      <formula>$I1255="不适用"</formula>
    </cfRule>
  </conditionalFormatting>
  <conditionalFormatting sqref="Q1255:Q1306">
    <cfRule type="expression" dxfId="1199" priority="230" stopIfTrue="1">
      <formula>$Q1255="请输入"</formula>
    </cfRule>
  </conditionalFormatting>
  <conditionalFormatting sqref="L1277:L1291">
    <cfRule type="expression" dxfId="1198" priority="9563" stopIfTrue="1">
      <formula>OR($L$1277="F/S",$L$1277="")</formula>
    </cfRule>
    <cfRule type="cellIs" dxfId="1197" priority="9564" stopIfTrue="1" operator="notEqual">
      <formula>0</formula>
    </cfRule>
  </conditionalFormatting>
  <conditionalFormatting sqref="O1277:O1291">
    <cfRule type="expression" dxfId="1196" priority="9565" stopIfTrue="1">
      <formula>OR($O$1277="F/S",$O$1277="")</formula>
    </cfRule>
    <cfRule type="cellIs" dxfId="1195" priority="9566" stopIfTrue="1" operator="notEqual">
      <formula>0</formula>
    </cfRule>
  </conditionalFormatting>
  <conditionalFormatting sqref="I1277">
    <cfRule type="expression" dxfId="1194" priority="224" stopIfTrue="1">
      <formula>$I1277="适用"</formula>
    </cfRule>
    <cfRule type="expression" dxfId="1193" priority="225" stopIfTrue="1">
      <formula>$I1277="不适用"</formula>
    </cfRule>
  </conditionalFormatting>
  <conditionalFormatting sqref="Q1277:Q1306">
    <cfRule type="expression" dxfId="1192" priority="223" stopIfTrue="1">
      <formula>$Q1277="请输入"</formula>
    </cfRule>
  </conditionalFormatting>
  <conditionalFormatting sqref="L1292:L1306">
    <cfRule type="expression" dxfId="1191" priority="9570" stopIfTrue="1">
      <formula>OR($L$1292="F/S",$L$1292="")</formula>
    </cfRule>
    <cfRule type="cellIs" dxfId="1190" priority="9571" stopIfTrue="1" operator="notEqual">
      <formula>0</formula>
    </cfRule>
  </conditionalFormatting>
  <conditionalFormatting sqref="O1292:O1306">
    <cfRule type="expression" dxfId="1189" priority="9572" stopIfTrue="1">
      <formula>OR($O$1292="F/S",$O$1292="")</formula>
    </cfRule>
    <cfRule type="cellIs" dxfId="1188" priority="9573" stopIfTrue="1" operator="notEqual">
      <formula>0</formula>
    </cfRule>
  </conditionalFormatting>
  <conditionalFormatting sqref="I1292">
    <cfRule type="expression" dxfId="1187" priority="217" stopIfTrue="1">
      <formula>$I1292="适用"</formula>
    </cfRule>
    <cfRule type="expression" dxfId="1186" priority="218" stopIfTrue="1">
      <formula>$I1292="不适用"</formula>
    </cfRule>
  </conditionalFormatting>
  <conditionalFormatting sqref="Q1292:Q1306">
    <cfRule type="expression" dxfId="1185" priority="216" stopIfTrue="1">
      <formula>$Q1292="请输入"</formula>
    </cfRule>
  </conditionalFormatting>
  <conditionalFormatting sqref="G1209:G1217">
    <cfRule type="expression" dxfId="1184" priority="9586">
      <formula>$D1209&gt;1</formula>
    </cfRule>
    <cfRule type="expression" dxfId="1183" priority="9587">
      <formula>$C1209="%IN"</formula>
    </cfRule>
    <cfRule type="expression" dxfId="1182" priority="9588" stopIfTrue="1">
      <formula>$E1209=0</formula>
    </cfRule>
  </conditionalFormatting>
  <conditionalFormatting sqref="G1282:G1290">
    <cfRule type="expression" dxfId="1181" priority="9595">
      <formula>$D1282&gt;1</formula>
    </cfRule>
    <cfRule type="expression" dxfId="1180" priority="9596">
      <formula>$C1282="%IN"</formula>
    </cfRule>
    <cfRule type="expression" dxfId="1179" priority="9597" stopIfTrue="1">
      <formula>$E1282=0</formula>
    </cfRule>
  </conditionalFormatting>
  <conditionalFormatting sqref="G1297:G1305">
    <cfRule type="expression" dxfId="1178" priority="9598">
      <formula>$D1297&gt;1</formula>
    </cfRule>
    <cfRule type="expression" dxfId="1177" priority="9599">
      <formula>$C1297="%IN"</formula>
    </cfRule>
    <cfRule type="expression" dxfId="1176" priority="9600" stopIfTrue="1">
      <formula>$E1297=0</formula>
    </cfRule>
  </conditionalFormatting>
  <conditionalFormatting sqref="G1282:G1289">
    <cfRule type="expression" dxfId="1175" priority="184">
      <formula>$D1282&gt;1</formula>
    </cfRule>
    <cfRule type="expression" dxfId="1174" priority="185">
      <formula>$C1282="%IN"</formula>
    </cfRule>
    <cfRule type="expression" dxfId="1173" priority="186" stopIfTrue="1">
      <formula>$E1282=0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121:G1129">
    <cfRule type="expression" dxfId="1169" priority="9607">
      <formula>$D1121&gt;1</formula>
    </cfRule>
    <cfRule type="expression" dxfId="1168" priority="9608">
      <formula>$C1121="%IN"</formula>
    </cfRule>
    <cfRule type="expression" dxfId="1167" priority="9609" stopIfTrue="1">
      <formula>$E1121=0</formula>
    </cfRule>
  </conditionalFormatting>
  <conditionalFormatting sqref="G1194:G1202">
    <cfRule type="expression" dxfId="1166" priority="9610">
      <formula>$D1194&gt;1</formula>
    </cfRule>
    <cfRule type="expression" dxfId="1165" priority="9611">
      <formula>$C1194="%IN"</formula>
    </cfRule>
    <cfRule type="expression" dxfId="1164" priority="9612" stopIfTrue="1">
      <formula>$E1194=0</formula>
    </cfRule>
  </conditionalFormatting>
  <conditionalFormatting sqref="G1282:G1289">
    <cfRule type="expression" dxfId="1163" priority="178">
      <formula>$D1282&gt;1</formula>
    </cfRule>
    <cfRule type="expression" dxfId="1162" priority="179">
      <formula>$C1282="%IN"</formula>
    </cfRule>
    <cfRule type="expression" dxfId="1161" priority="180" stopIfTrue="1">
      <formula>$E1282=0</formula>
    </cfRule>
  </conditionalFormatting>
  <conditionalFormatting sqref="G1106:G1114">
    <cfRule type="expression" dxfId="1160" priority="9613">
      <formula>$D1106&gt;1</formula>
    </cfRule>
    <cfRule type="expression" dxfId="1159" priority="9614">
      <formula>$C1106="%IN"</formula>
    </cfRule>
    <cfRule type="expression" dxfId="1158" priority="9615" stopIfTrue="1">
      <formula>$E1106=0</formula>
    </cfRule>
  </conditionalFormatting>
  <conditionalFormatting sqref="L2218:L2219 L2227:L2233">
    <cfRule type="expression" dxfId="1157" priority="9628" stopIfTrue="1">
      <formula>OR($L$2218="F/S",$L$2218="")</formula>
    </cfRule>
    <cfRule type="cellIs" dxfId="1156" priority="9629" stopIfTrue="1" operator="notEqual">
      <formula>0</formula>
    </cfRule>
  </conditionalFormatting>
  <conditionalFormatting sqref="O2218:O2219 O2227:O2233">
    <cfRule type="expression" dxfId="1155" priority="9630" stopIfTrue="1">
      <formula>OR($O$2218="F/S",$O$2218="")</formula>
    </cfRule>
    <cfRule type="cellIs" dxfId="1154" priority="9631" stopIfTrue="1" operator="notEqual">
      <formula>0</formula>
    </cfRule>
  </conditionalFormatting>
  <conditionalFormatting sqref="I2218">
    <cfRule type="expression" dxfId="1153" priority="170" stopIfTrue="1">
      <formula>$I2218="适用"</formula>
    </cfRule>
    <cfRule type="expression" dxfId="1152" priority="171" stopIfTrue="1">
      <formula>$I2218="不适用"</formula>
    </cfRule>
  </conditionalFormatting>
  <conditionalFormatting sqref="G2320:G2328">
    <cfRule type="expression" dxfId="1151" priority="9635">
      <formula>$D2320&gt;1</formula>
    </cfRule>
    <cfRule type="expression" dxfId="1150" priority="9636">
      <formula>$C2320="%IN"</formula>
    </cfRule>
    <cfRule type="expression" dxfId="1149" priority="9637" stopIfTrue="1">
      <formula>$E2320=0</formula>
    </cfRule>
  </conditionalFormatting>
  <conditionalFormatting sqref="G420:G428">
    <cfRule type="expression" dxfId="1148" priority="9641">
      <formula>$D420&gt;1</formula>
    </cfRule>
    <cfRule type="expression" dxfId="1147" priority="9642">
      <formula>$C420="%IN"</formula>
    </cfRule>
    <cfRule type="expression" dxfId="1146" priority="9643" stopIfTrue="1">
      <formula>$E420=0</formula>
    </cfRule>
  </conditionalFormatting>
  <conditionalFormatting sqref="G405:G413">
    <cfRule type="expression" dxfId="1145" priority="9644">
      <formula>$D405&gt;1</formula>
    </cfRule>
    <cfRule type="expression" dxfId="1144" priority="9645">
      <formula>$C405="%IN"</formula>
    </cfRule>
    <cfRule type="expression" dxfId="1143" priority="9646" stopIfTrue="1">
      <formula>$E405=0</formula>
    </cfRule>
  </conditionalFormatting>
  <conditionalFormatting sqref="G112:G117 G693:G695 G435:G439">
    <cfRule type="expression" dxfId="1142" priority="9650">
      <formula>$D112&gt;1</formula>
    </cfRule>
    <cfRule type="expression" dxfId="1141" priority="9651">
      <formula>$C112="%IN"</formula>
    </cfRule>
    <cfRule type="expression" dxfId="1140" priority="9652" stopIfTrue="1">
      <formula>$E112=0</formula>
    </cfRule>
  </conditionalFormatting>
  <conditionalFormatting sqref="G133:G136">
    <cfRule type="expression" dxfId="1139" priority="9653">
      <formula>$D133&gt;1</formula>
    </cfRule>
    <cfRule type="expression" dxfId="1138" priority="9654">
      <formula>$C133="%IN"</formula>
    </cfRule>
    <cfRule type="expression" dxfId="1137" priority="9655" stopIfTrue="1">
      <formula>$E133=0</formula>
    </cfRule>
  </conditionalFormatting>
  <conditionalFormatting sqref="G74:G87">
    <cfRule type="expression" dxfId="1136" priority="9659">
      <formula>$D74&gt;1</formula>
    </cfRule>
    <cfRule type="expression" dxfId="1135" priority="9660">
      <formula>$C74="%IN"</formula>
    </cfRule>
    <cfRule type="expression" dxfId="1134" priority="9661" stopIfTrue="1">
      <formula>$E74=0</formula>
    </cfRule>
  </conditionalFormatting>
  <conditionalFormatting sqref="G163:G168">
    <cfRule type="expression" dxfId="1133" priority="9665">
      <formula>$D163&gt;1</formula>
    </cfRule>
    <cfRule type="expression" dxfId="1132" priority="9666">
      <formula>$C163="%IN"</formula>
    </cfRule>
    <cfRule type="expression" dxfId="1131" priority="9667" stopIfTrue="1">
      <formula>$E163=0</formula>
    </cfRule>
  </conditionalFormatting>
  <conditionalFormatting sqref="G175:G183">
    <cfRule type="expression" dxfId="1130" priority="9668">
      <formula>$D175&gt;1</formula>
    </cfRule>
    <cfRule type="expression" dxfId="1129" priority="9669">
      <formula>$C175="%IN"</formula>
    </cfRule>
    <cfRule type="expression" dxfId="1128" priority="9670" stopIfTrue="1">
      <formula>$E175=0</formula>
    </cfRule>
  </conditionalFormatting>
  <conditionalFormatting sqref="G197:G205">
    <cfRule type="expression" dxfId="1127" priority="9671">
      <formula>$D197&gt;1</formula>
    </cfRule>
    <cfRule type="expression" dxfId="1126" priority="9672">
      <formula>$C197="%IN"</formula>
    </cfRule>
    <cfRule type="expression" dxfId="1125" priority="9673" stopIfTrue="1">
      <formula>$E197=0</formula>
    </cfRule>
  </conditionalFormatting>
  <conditionalFormatting sqref="G256:G264">
    <cfRule type="expression" dxfId="1124" priority="9677">
      <formula>$D256&gt;1</formula>
    </cfRule>
    <cfRule type="expression" dxfId="1123" priority="9678">
      <formula>$C256="%IN"</formula>
    </cfRule>
    <cfRule type="expression" dxfId="1122" priority="9679" stopIfTrue="1">
      <formula>$E256=0</formula>
    </cfRule>
  </conditionalFormatting>
  <conditionalFormatting sqref="G276:G284">
    <cfRule type="expression" dxfId="1121" priority="9680">
      <formula>$D276&gt;1</formula>
    </cfRule>
    <cfRule type="expression" dxfId="1120" priority="9681">
      <formula>$C276="%IN"</formula>
    </cfRule>
    <cfRule type="expression" dxfId="1119" priority="9682" stopIfTrue="1">
      <formula>$E276=0</formula>
    </cfRule>
  </conditionalFormatting>
  <conditionalFormatting sqref="G289:G291">
    <cfRule type="expression" dxfId="1118" priority="9683">
      <formula>$D289&gt;1</formula>
    </cfRule>
    <cfRule type="expression" dxfId="1117" priority="9684">
      <formula>$C289="%IN"</formula>
    </cfRule>
    <cfRule type="expression" dxfId="1116" priority="9685" stopIfTrue="1">
      <formula>$E289=0</formula>
    </cfRule>
  </conditionalFormatting>
  <conditionalFormatting sqref="G296:G304">
    <cfRule type="expression" dxfId="1115" priority="9686">
      <formula>$D296&gt;1</formula>
    </cfRule>
    <cfRule type="expression" dxfId="1114" priority="9687">
      <formula>$C296="%IN"</formula>
    </cfRule>
    <cfRule type="expression" dxfId="1113" priority="9688" stopIfTrue="1">
      <formula>$E296=0</formula>
    </cfRule>
  </conditionalFormatting>
  <conditionalFormatting sqref="H188">
    <cfRule type="expression" dxfId="1112" priority="9689">
      <formula>AND(H$188&lt;&gt;0,H$188&lt;&gt;"")</formula>
    </cfRule>
    <cfRule type="expression" dxfId="1111" priority="9690" stopIfTrue="1">
      <formula>H$189&lt;&gt;"√"</formula>
    </cfRule>
  </conditionalFormatting>
  <conditionalFormatting sqref="J188">
    <cfRule type="expression" dxfId="1110" priority="9691">
      <formula>AND(J$188&lt;&gt;0,J$188&lt;&gt;"")</formula>
    </cfRule>
    <cfRule type="expression" dxfId="1109" priority="9692" stopIfTrue="1">
      <formula>J$189&lt;&gt;"√"</formula>
    </cfRule>
  </conditionalFormatting>
  <conditionalFormatting sqref="L188">
    <cfRule type="expression" dxfId="1108" priority="9693">
      <formula>AND(L$188&lt;&gt;0,L$188&lt;&gt;"")</formula>
    </cfRule>
    <cfRule type="expression" dxfId="1107" priority="9694" stopIfTrue="1">
      <formula>L$189&lt;&gt;"√"</formula>
    </cfRule>
  </conditionalFormatting>
  <conditionalFormatting sqref="K190">
    <cfRule type="expression" dxfId="1106" priority="9695">
      <formula>AND($K$190&lt;&gt;0,$K$190&lt;&gt;"")</formula>
    </cfRule>
    <cfRule type="expression" dxfId="1105" priority="9696" stopIfTrue="1">
      <formula>$L$190&lt;&gt;"√"</formula>
    </cfRule>
  </conditionalFormatting>
  <conditionalFormatting sqref="H210">
    <cfRule type="expression" dxfId="1104" priority="9697">
      <formula>AND(H$210&lt;&gt;0,H$210&lt;&gt;"")</formula>
    </cfRule>
    <cfRule type="expression" dxfId="1103" priority="9698" stopIfTrue="1">
      <formula>H$211&lt;&gt;"√"</formula>
    </cfRule>
  </conditionalFormatting>
  <conditionalFormatting sqref="I210">
    <cfRule type="expression" dxfId="1102" priority="9699">
      <formula>AND(I$210&lt;&gt;0,I$210&lt;&gt;"")</formula>
    </cfRule>
    <cfRule type="expression" dxfId="1101" priority="9700" stopIfTrue="1">
      <formula>I$211&lt;&gt;"√"</formula>
    </cfRule>
  </conditionalFormatting>
  <conditionalFormatting sqref="K212">
    <cfRule type="expression" dxfId="1100" priority="9701">
      <formula>AND($K$212&lt;&gt;0,$K$212&lt;&gt;"")</formula>
    </cfRule>
    <cfRule type="expression" dxfId="1099" priority="9702" stopIfTrue="1">
      <formula>$L$212&lt;&gt;"√"</formula>
    </cfRule>
  </conditionalFormatting>
  <conditionalFormatting sqref="H232">
    <cfRule type="expression" dxfId="1098" priority="9703">
      <formula>AND(H$232&lt;&gt;0,H$232&lt;&gt;"")</formula>
    </cfRule>
    <cfRule type="expression" dxfId="1097" priority="9704" stopIfTrue="1">
      <formula>H$233&lt;&gt;"√"</formula>
    </cfRule>
  </conditionalFormatting>
  <conditionalFormatting sqref="I232">
    <cfRule type="expression" dxfId="1096" priority="9705">
      <formula>AND(I$232&lt;&gt;0,I$232&lt;&gt;"")</formula>
    </cfRule>
    <cfRule type="expression" dxfId="1095" priority="9706" stopIfTrue="1">
      <formula>I$233&lt;&gt;"√"</formula>
    </cfRule>
  </conditionalFormatting>
  <conditionalFormatting sqref="K234">
    <cfRule type="expression" dxfId="1094" priority="9707">
      <formula>AND($K$234&lt;&gt;0,$K$234&lt;&gt;"")</formula>
    </cfRule>
    <cfRule type="expression" dxfId="1093" priority="9708" stopIfTrue="1">
      <formula>$L$234&lt;&gt;"√"</formula>
    </cfRule>
  </conditionalFormatting>
  <conditionalFormatting sqref="H269">
    <cfRule type="expression" dxfId="1092" priority="9709">
      <formula>AND(H$269&lt;&gt;0,H$269&lt;&gt;"")</formula>
    </cfRule>
    <cfRule type="expression" dxfId="1091" priority="9710" stopIfTrue="1">
      <formula>H$270&lt;&gt;"√"</formula>
    </cfRule>
  </conditionalFormatting>
  <conditionalFormatting sqref="N269">
    <cfRule type="expression" dxfId="1090" priority="9711">
      <formula>AND(N$269&lt;&gt;0,N$269&lt;&gt;"")</formula>
    </cfRule>
    <cfRule type="expression" dxfId="1089" priority="9712" stopIfTrue="1">
      <formula>N$270&lt;&gt;"√"</formula>
    </cfRule>
  </conditionalFormatting>
  <conditionalFormatting sqref="K271">
    <cfRule type="expression" dxfId="1088" priority="9713">
      <formula>AND($K$271&lt;&gt;0,$K$271&lt;&gt;"")</formula>
    </cfRule>
    <cfRule type="expression" dxfId="1087" priority="9714" stopIfTrue="1">
      <formula>$L$271&lt;&gt;"√"</formula>
    </cfRule>
  </conditionalFormatting>
  <conditionalFormatting sqref="G320:G332">
    <cfRule type="expression" dxfId="1086" priority="9715">
      <formula>$D320&gt;1</formula>
    </cfRule>
    <cfRule type="expression" dxfId="1085" priority="9716">
      <formula>$C320="%IN"</formula>
    </cfRule>
    <cfRule type="expression" dxfId="1084" priority="9717" stopIfTrue="1">
      <formula>$E320=0</formula>
    </cfRule>
  </conditionalFormatting>
  <conditionalFormatting sqref="G339:G347">
    <cfRule type="expression" dxfId="1083" priority="9718">
      <formula>$D339&gt;1</formula>
    </cfRule>
    <cfRule type="expression" dxfId="1082" priority="9719">
      <formula>$C339="%IN"</formula>
    </cfRule>
    <cfRule type="expression" dxfId="1081" priority="9720" stopIfTrue="1">
      <formula>$E339=0</formula>
    </cfRule>
  </conditionalFormatting>
  <conditionalFormatting sqref="G361:G369">
    <cfRule type="expression" dxfId="1080" priority="9724">
      <formula>$D361&gt;1</formula>
    </cfRule>
    <cfRule type="expression" dxfId="1079" priority="9725">
      <formula>$C361="%IN"</formula>
    </cfRule>
    <cfRule type="expression" dxfId="1078" priority="9726" stopIfTrue="1">
      <formula>$E361=0</formula>
    </cfRule>
  </conditionalFormatting>
  <conditionalFormatting sqref="G383:G391">
    <cfRule type="expression" dxfId="1077" priority="9727">
      <formula>$D383&gt;1</formula>
    </cfRule>
    <cfRule type="expression" dxfId="1076" priority="9728">
      <formula>$C383="%IN"</formula>
    </cfRule>
    <cfRule type="expression" dxfId="1075" priority="9729" stopIfTrue="1">
      <formula>$E383=0</formula>
    </cfRule>
  </conditionalFormatting>
  <conditionalFormatting sqref="G453:G459">
    <cfRule type="expression" dxfId="1074" priority="9730">
      <formula>$D453&gt;1</formula>
    </cfRule>
    <cfRule type="expression" dxfId="1073" priority="9731">
      <formula>$C453="%IN"</formula>
    </cfRule>
    <cfRule type="expression" dxfId="1072" priority="9732" stopIfTrue="1">
      <formula>$E453=0</formula>
    </cfRule>
  </conditionalFormatting>
  <conditionalFormatting sqref="G473:G483">
    <cfRule type="expression" dxfId="1071" priority="9733">
      <formula>$D473&gt;1</formula>
    </cfRule>
    <cfRule type="expression" dxfId="1070" priority="9734">
      <formula>$C473="%IN"</formula>
    </cfRule>
    <cfRule type="expression" dxfId="1069" priority="9735" stopIfTrue="1">
      <formula>$E473=0</formula>
    </cfRule>
  </conditionalFormatting>
  <conditionalFormatting sqref="G584:G592">
    <cfRule type="expression" dxfId="1068" priority="9736">
      <formula>$D584&gt;1</formula>
    </cfRule>
    <cfRule type="expression" dxfId="1067" priority="9737">
      <formula>$C584="%IN"</formula>
    </cfRule>
    <cfRule type="expression" dxfId="1066" priority="9738" stopIfTrue="1">
      <formula>$E584=0</formula>
    </cfRule>
  </conditionalFormatting>
  <conditionalFormatting sqref="G632:G646">
    <cfRule type="expression" dxfId="1065" priority="9748">
      <formula>$D632&gt;1</formula>
    </cfRule>
    <cfRule type="expression" dxfId="1064" priority="9749">
      <formula>$C632="%IN"</formula>
    </cfRule>
    <cfRule type="expression" dxfId="1063" priority="9750" stopIfTrue="1">
      <formula>$E632=0</formula>
    </cfRule>
  </conditionalFormatting>
  <conditionalFormatting sqref="G562:G567">
    <cfRule type="expression" dxfId="1062" priority="9757">
      <formula>$D562&gt;1</formula>
    </cfRule>
    <cfRule type="expression" dxfId="1061" priority="9758">
      <formula>$C562="%IN"</formula>
    </cfRule>
    <cfRule type="expression" dxfId="1060" priority="9759" stopIfTrue="1">
      <formula>$E562=0</formula>
    </cfRule>
  </conditionalFormatting>
  <conditionalFormatting sqref="G572:G577">
    <cfRule type="expression" dxfId="1059" priority="9760">
      <formula>$D572&gt;1</formula>
    </cfRule>
    <cfRule type="expression" dxfId="1058" priority="9761">
      <formula>$C572="%IN"</formula>
    </cfRule>
    <cfRule type="expression" dxfId="1057" priority="9762" stopIfTrue="1">
      <formula>$E572=0</formula>
    </cfRule>
  </conditionalFormatting>
  <conditionalFormatting sqref="G219:G227">
    <cfRule type="expression" dxfId="1056" priority="9763">
      <formula>$D219&gt;1</formula>
    </cfRule>
    <cfRule type="expression" dxfId="1055" priority="9764">
      <formula>$C219="%IN"</formula>
    </cfRule>
    <cfRule type="expression" dxfId="1054" priority="9765" stopIfTrue="1">
      <formula>$E219=0</formula>
    </cfRule>
  </conditionalFormatting>
  <conditionalFormatting sqref="G125:G128">
    <cfRule type="expression" dxfId="1053" priority="9766">
      <formula>$D125&gt;1</formula>
    </cfRule>
    <cfRule type="expression" dxfId="1052" priority="9767">
      <formula>$C125="%IN"</formula>
    </cfRule>
    <cfRule type="expression" dxfId="1051" priority="9768" stopIfTrue="1">
      <formula>$E125=0</formula>
    </cfRule>
  </conditionalFormatting>
  <conditionalFormatting sqref="G701:G704">
    <cfRule type="expression" dxfId="1050" priority="9769">
      <formula>$D701&gt;1</formula>
    </cfRule>
    <cfRule type="expression" dxfId="1049" priority="9770">
      <formula>$C701="%IN"</formula>
    </cfRule>
    <cfRule type="expression" dxfId="1048" priority="9771" stopIfTrue="1">
      <formula>$E701=0</formula>
    </cfRule>
  </conditionalFormatting>
  <conditionalFormatting sqref="G853:G856">
    <cfRule type="expression" dxfId="1047" priority="9784">
      <formula>$D853&gt;1</formula>
    </cfRule>
    <cfRule type="expression" dxfId="1046" priority="9785">
      <formula>$C853="%IN"</formula>
    </cfRule>
    <cfRule type="expression" dxfId="1045" priority="9786" stopIfTrue="1">
      <formula>$E853=0</formula>
    </cfRule>
  </conditionalFormatting>
  <conditionalFormatting sqref="G903:G908">
    <cfRule type="expression" dxfId="1044" priority="9787">
      <formula>$D903&gt;1</formula>
    </cfRule>
    <cfRule type="expression" dxfId="1043" priority="9788">
      <formula>$C903="%IN"</formula>
    </cfRule>
    <cfRule type="expression" dxfId="1042" priority="9789" stopIfTrue="1">
      <formula>$E903=0</formula>
    </cfRule>
  </conditionalFormatting>
  <conditionalFormatting sqref="G913:G918">
    <cfRule type="expression" dxfId="1041" priority="9790">
      <formula>$D913&gt;1</formula>
    </cfRule>
    <cfRule type="expression" dxfId="1040" priority="9791">
      <formula>$C913="%IN"</formula>
    </cfRule>
    <cfRule type="expression" dxfId="1039" priority="9792" stopIfTrue="1">
      <formula>$E913=0</formula>
    </cfRule>
  </conditionalFormatting>
  <conditionalFormatting sqref="G959:G964">
    <cfRule type="expression" dxfId="1038" priority="9796">
      <formula>$D959&gt;1</formula>
    </cfRule>
    <cfRule type="expression" dxfId="1037" priority="9797">
      <formula>$C959="%IN"</formula>
    </cfRule>
    <cfRule type="expression" dxfId="1036" priority="9798" stopIfTrue="1">
      <formula>$E959=0</formula>
    </cfRule>
  </conditionalFormatting>
  <conditionalFormatting sqref="G947:G954">
    <cfRule type="expression" dxfId="1035" priority="9799">
      <formula>$D947&gt;1</formula>
    </cfRule>
    <cfRule type="expression" dxfId="1034" priority="9800">
      <formula>$C947="%IN"</formula>
    </cfRule>
    <cfRule type="expression" dxfId="1033" priority="9801" stopIfTrue="1">
      <formula>$E947=0</formula>
    </cfRule>
  </conditionalFormatting>
  <conditionalFormatting sqref="G970:G975">
    <cfRule type="expression" dxfId="1032" priority="9802">
      <formula>$D970&gt;1</formula>
    </cfRule>
    <cfRule type="expression" dxfId="1031" priority="9803">
      <formula>$C970="%IN"</formula>
    </cfRule>
    <cfRule type="expression" dxfId="1030" priority="9804" stopIfTrue="1">
      <formula>$E970=0</formula>
    </cfRule>
  </conditionalFormatting>
  <conditionalFormatting sqref="G980:G985">
    <cfRule type="expression" dxfId="1029" priority="9805">
      <formula>$D980&gt;1</formula>
    </cfRule>
    <cfRule type="expression" dxfId="1028" priority="9806">
      <formula>$C980="%IN"</formula>
    </cfRule>
    <cfRule type="expression" dxfId="1027" priority="9807" stopIfTrue="1">
      <formula>$E980=0</formula>
    </cfRule>
  </conditionalFormatting>
  <conditionalFormatting sqref="G991:G1004">
    <cfRule type="expression" dxfId="1026" priority="9814">
      <formula>$D991&gt;1</formula>
    </cfRule>
    <cfRule type="expression" dxfId="1025" priority="9815">
      <formula>$C991="%IN"</formula>
    </cfRule>
    <cfRule type="expression" dxfId="1024" priority="9816" stopIfTrue="1">
      <formula>$E991=0</formula>
    </cfRule>
  </conditionalFormatting>
  <conditionalFormatting sqref="G1030:G1034">
    <cfRule type="expression" dxfId="1023" priority="9820">
      <formula>$D1030&gt;1</formula>
    </cfRule>
    <cfRule type="expression" dxfId="1022" priority="9821">
      <formula>$C1030="%IN"</formula>
    </cfRule>
    <cfRule type="expression" dxfId="1021" priority="9822" stopIfTrue="1">
      <formula>$E1030=0</formula>
    </cfRule>
  </conditionalFormatting>
  <conditionalFormatting sqref="G1046:G1055">
    <cfRule type="expression" dxfId="1020" priority="9823">
      <formula>$D1046&gt;1</formula>
    </cfRule>
    <cfRule type="expression" dxfId="1019" priority="9824">
      <formula>$C1046="%IN"</formula>
    </cfRule>
    <cfRule type="expression" dxfId="1018" priority="9825" stopIfTrue="1">
      <formula>$E1046=0</formula>
    </cfRule>
  </conditionalFormatting>
  <conditionalFormatting sqref="G1062:G1070">
    <cfRule type="expression" dxfId="1017" priority="9826">
      <formula>$D1062&gt;1</formula>
    </cfRule>
    <cfRule type="expression" dxfId="1016" priority="9827">
      <formula>$C1062="%IN"</formula>
    </cfRule>
    <cfRule type="expression" dxfId="1015" priority="9828" stopIfTrue="1">
      <formula>$E1062=0</formula>
    </cfRule>
  </conditionalFormatting>
  <conditionalFormatting sqref="G1084:G1092">
    <cfRule type="expression" dxfId="1014" priority="9829">
      <formula>$D1084&gt;1</formula>
    </cfRule>
    <cfRule type="expression" dxfId="1013" priority="9830">
      <formula>$C1084="%IN"</formula>
    </cfRule>
    <cfRule type="expression" dxfId="1012" priority="9831" stopIfTrue="1">
      <formula>$E1084=0</formula>
    </cfRule>
  </conditionalFormatting>
  <conditionalFormatting sqref="G1134:G1143">
    <cfRule type="expression" dxfId="1011" priority="9832">
      <formula>$D1134&gt;1</formula>
    </cfRule>
    <cfRule type="expression" dxfId="1010" priority="9833">
      <formula>$C1134="%IN"</formula>
    </cfRule>
    <cfRule type="expression" dxfId="1009" priority="9834" stopIfTrue="1">
      <formula>$E1134=0</formula>
    </cfRule>
  </conditionalFormatting>
  <conditionalFormatting sqref="G1150:G1158">
    <cfRule type="expression" dxfId="1008" priority="9835">
      <formula>$D1150&gt;1</formula>
    </cfRule>
    <cfRule type="expression" dxfId="1007" priority="9836">
      <formula>$C1150="%IN"</formula>
    </cfRule>
    <cfRule type="expression" dxfId="1006" priority="9837" stopIfTrue="1">
      <formula>$E1150=0</formula>
    </cfRule>
  </conditionalFormatting>
  <conditionalFormatting sqref="G1172:G1180">
    <cfRule type="expression" dxfId="1005" priority="9838">
      <formula>$D1172&gt;1</formula>
    </cfRule>
    <cfRule type="expression" dxfId="1004" priority="9839">
      <formula>$C1172="%IN"</formula>
    </cfRule>
    <cfRule type="expression" dxfId="1003" priority="9840" stopIfTrue="1">
      <formula>$E1172=0</formula>
    </cfRule>
  </conditionalFormatting>
  <conditionalFormatting sqref="G1222:G1231">
    <cfRule type="expression" dxfId="1002" priority="9841">
      <formula>$D1222&gt;1</formula>
    </cfRule>
    <cfRule type="expression" dxfId="1001" priority="9842">
      <formula>$C1222="%IN"</formula>
    </cfRule>
    <cfRule type="expression" dxfId="1000" priority="9843" stopIfTrue="1">
      <formula>$E1222=0</formula>
    </cfRule>
  </conditionalFormatting>
  <conditionalFormatting sqref="G1238:G1246">
    <cfRule type="expression" dxfId="999" priority="9844">
      <formula>$D1238&gt;1</formula>
    </cfRule>
    <cfRule type="expression" dxfId="998" priority="9845">
      <formula>$C1238="%IN"</formula>
    </cfRule>
    <cfRule type="expression" dxfId="997" priority="9846" stopIfTrue="1">
      <formula>$E1238=0</formula>
    </cfRule>
  </conditionalFormatting>
  <conditionalFormatting sqref="G1260:G1268">
    <cfRule type="expression" dxfId="996" priority="9847">
      <formula>$D1260&gt;1</formula>
    </cfRule>
    <cfRule type="expression" dxfId="995" priority="9848">
      <formula>$C1260="%IN"</formula>
    </cfRule>
    <cfRule type="expression" dxfId="994" priority="9849" stopIfTrue="1">
      <formula>$E1260=0</formula>
    </cfRule>
  </conditionalFormatting>
  <conditionalFormatting sqref="G1312:G1317">
    <cfRule type="expression" dxfId="993" priority="9850">
      <formula>$D1312&gt;1</formula>
    </cfRule>
    <cfRule type="expression" dxfId="992" priority="9851">
      <formula>$C1312="%IN"</formula>
    </cfRule>
    <cfRule type="expression" dxfId="991" priority="9852" stopIfTrue="1">
      <formula>$E1312=0</formula>
    </cfRule>
  </conditionalFormatting>
  <conditionalFormatting sqref="G1331:G1339">
    <cfRule type="expression" dxfId="990" priority="9853">
      <formula>$D1331&gt;1</formula>
    </cfRule>
    <cfRule type="expression" dxfId="989" priority="9854">
      <formula>$C1331="%IN"</formula>
    </cfRule>
    <cfRule type="expression" dxfId="988" priority="9855" stopIfTrue="1">
      <formula>$E1331=0</formula>
    </cfRule>
  </conditionalFormatting>
  <conditionalFormatting sqref="G1353:G1363">
    <cfRule type="expression" dxfId="987" priority="9856">
      <formula>$D1353&gt;1</formula>
    </cfRule>
    <cfRule type="expression" dxfId="986" priority="9857">
      <formula>$C1353="%IN"</formula>
    </cfRule>
    <cfRule type="expression" dxfId="985" priority="9858" stopIfTrue="1">
      <formula>$E1353=0</formula>
    </cfRule>
  </conditionalFormatting>
  <conditionalFormatting sqref="G1474:G1482">
    <cfRule type="expression" dxfId="984" priority="9859">
      <formula>$D1474&gt;1</formula>
    </cfRule>
    <cfRule type="expression" dxfId="983" priority="9860">
      <formula>$C1474="%IN"</formula>
    </cfRule>
    <cfRule type="expression" dxfId="982" priority="9861" stopIfTrue="1">
      <formula>$E1474=0</formula>
    </cfRule>
  </conditionalFormatting>
  <conditionalFormatting sqref="G1452:G1457">
    <cfRule type="expression" dxfId="981" priority="9880">
      <formula>$D1452&gt;1</formula>
    </cfRule>
    <cfRule type="expression" dxfId="980" priority="9881">
      <formula>$C1452="%IN"</formula>
    </cfRule>
    <cfRule type="expression" dxfId="979" priority="9882" stopIfTrue="1">
      <formula>$E1452=0</formula>
    </cfRule>
  </conditionalFormatting>
  <conditionalFormatting sqref="G1462:G1467">
    <cfRule type="expression" dxfId="978" priority="9883">
      <formula>$D1462&gt;1</formula>
    </cfRule>
    <cfRule type="expression" dxfId="977" priority="9884">
      <formula>$C1462="%IN"</formula>
    </cfRule>
    <cfRule type="expression" dxfId="976" priority="9885" stopIfTrue="1">
      <formula>$E1462=0</formula>
    </cfRule>
  </conditionalFormatting>
  <conditionalFormatting sqref="G1612:G1614">
    <cfRule type="expression" dxfId="975" priority="9886">
      <formula>$D1612&gt;1</formula>
    </cfRule>
    <cfRule type="expression" dxfId="974" priority="9887">
      <formula>$C1612="%IN"</formula>
    </cfRule>
    <cfRule type="expression" dxfId="973" priority="9888" stopIfTrue="1">
      <formula>$E1612=0</formula>
    </cfRule>
  </conditionalFormatting>
  <conditionalFormatting sqref="G1622:G1634">
    <cfRule type="expression" dxfId="972" priority="9889">
      <formula>$D1622&gt;1</formula>
    </cfRule>
    <cfRule type="expression" dxfId="971" priority="9890">
      <formula>$C1622="%IN"</formula>
    </cfRule>
    <cfRule type="expression" dxfId="970" priority="9891" stopIfTrue="1">
      <formula>$E1622=0</formula>
    </cfRule>
  </conditionalFormatting>
  <conditionalFormatting sqref="G1641:G1653">
    <cfRule type="expression" dxfId="969" priority="9892">
      <formula>$D1641&gt;1</formula>
    </cfRule>
    <cfRule type="expression" dxfId="968" priority="9893">
      <formula>$C1641="%IN"</formula>
    </cfRule>
    <cfRule type="expression" dxfId="967" priority="9894" stopIfTrue="1">
      <formula>$E1641=0</formula>
    </cfRule>
  </conditionalFormatting>
  <conditionalFormatting sqref="G1719:G1724">
    <cfRule type="expression" dxfId="966" priority="9901">
      <formula>$D1719&gt;1</formula>
    </cfRule>
    <cfRule type="expression" dxfId="965" priority="9902">
      <formula>$C1719="%IN"</formula>
    </cfRule>
    <cfRule type="expression" dxfId="964" priority="9903" stopIfTrue="1">
      <formula>$E1719=0</formula>
    </cfRule>
  </conditionalFormatting>
  <conditionalFormatting sqref="G1729:G1734">
    <cfRule type="expression" dxfId="963" priority="9904">
      <formula>$D1729&gt;1</formula>
    </cfRule>
    <cfRule type="expression" dxfId="962" priority="9905">
      <formula>$C1729="%IN"</formula>
    </cfRule>
    <cfRule type="expression" dxfId="961" priority="9906" stopIfTrue="1">
      <formula>$E1729=0</formula>
    </cfRule>
  </conditionalFormatting>
  <conditionalFormatting sqref="G1739:G1751">
    <cfRule type="expression" dxfId="960" priority="9907">
      <formula>$D1739&gt;1</formula>
    </cfRule>
    <cfRule type="expression" dxfId="959" priority="9908">
      <formula>$C1739="%IN"</formula>
    </cfRule>
    <cfRule type="expression" dxfId="958" priority="9909" stopIfTrue="1">
      <formula>$E1739=0</formula>
    </cfRule>
  </conditionalFormatting>
  <conditionalFormatting sqref="G1756:G1761">
    <cfRule type="expression" dxfId="957" priority="9910">
      <formula>$D1756&gt;1</formula>
    </cfRule>
    <cfRule type="expression" dxfId="956" priority="9911">
      <formula>$C1756="%IN"</formula>
    </cfRule>
    <cfRule type="expression" dxfId="955" priority="9912" stopIfTrue="1">
      <formula>$E1756=0</formula>
    </cfRule>
  </conditionalFormatting>
  <conditionalFormatting sqref="G1779:G1787">
    <cfRule type="expression" dxfId="954" priority="9913">
      <formula>$D1779&gt;1</formula>
    </cfRule>
    <cfRule type="expression" dxfId="953" priority="9914">
      <formula>$C1779="%IN"</formula>
    </cfRule>
    <cfRule type="expression" dxfId="952" priority="9915" stopIfTrue="1">
      <formula>$E1779=0</formula>
    </cfRule>
  </conditionalFormatting>
  <conditionalFormatting sqref="G1793:G1797">
    <cfRule type="expression" dxfId="951" priority="9916">
      <formula>$D1793&gt;1</formula>
    </cfRule>
    <cfRule type="expression" dxfId="950" priority="9917">
      <formula>$C1793="%IN"</formula>
    </cfRule>
    <cfRule type="expression" dxfId="949" priority="9918" stopIfTrue="1">
      <formula>$E1793=0</formula>
    </cfRule>
  </conditionalFormatting>
  <conditionalFormatting sqref="G1856:G1860">
    <cfRule type="expression" dxfId="948" priority="9919">
      <formula>$D1856&gt;1</formula>
    </cfRule>
    <cfRule type="expression" dxfId="947" priority="9920">
      <formula>$C1856="%IN"</formula>
    </cfRule>
    <cfRule type="expression" dxfId="946" priority="9921" stopIfTrue="1">
      <formula>$E1856=0</formula>
    </cfRule>
  </conditionalFormatting>
  <conditionalFormatting sqref="G1872:G1880">
    <cfRule type="expression" dxfId="945" priority="9922">
      <formula>$D1872&gt;1</formula>
    </cfRule>
    <cfRule type="expression" dxfId="944" priority="9923">
      <formula>$C1872="%IN"</formula>
    </cfRule>
    <cfRule type="expression" dxfId="943" priority="9924" stopIfTrue="1">
      <formula>$E1872=0</formula>
    </cfRule>
  </conditionalFormatting>
  <conditionalFormatting sqref="G1885:G1893">
    <cfRule type="expression" dxfId="942" priority="9925">
      <formula>$D1885&gt;1</formula>
    </cfRule>
    <cfRule type="expression" dxfId="941" priority="9926">
      <formula>$C1885="%IN"</formula>
    </cfRule>
    <cfRule type="expression" dxfId="940" priority="9927" stopIfTrue="1">
      <formula>$E1885=0</formula>
    </cfRule>
  </conditionalFormatting>
  <conditionalFormatting sqref="G1898:G1906">
    <cfRule type="expression" dxfId="939" priority="9928">
      <formula>$D1898&gt;1</formula>
    </cfRule>
    <cfRule type="expression" dxfId="938" priority="9929">
      <formula>$C1898="%IN"</formula>
    </cfRule>
    <cfRule type="expression" dxfId="937" priority="9930" stopIfTrue="1">
      <formula>$E1898=0</formula>
    </cfRule>
  </conditionalFormatting>
  <conditionalFormatting sqref="G1913:G1918">
    <cfRule type="expression" dxfId="936" priority="9931">
      <formula>$D1913&gt;1</formula>
    </cfRule>
    <cfRule type="expression" dxfId="935" priority="9932">
      <formula>$C1913="%IN"</formula>
    </cfRule>
    <cfRule type="expression" dxfId="934" priority="9933" stopIfTrue="1">
      <formula>$E1913=0</formula>
    </cfRule>
  </conditionalFormatting>
  <conditionalFormatting sqref="G1932:G1944">
    <cfRule type="expression" dxfId="933" priority="9934">
      <formula>$D1932&gt;1</formula>
    </cfRule>
    <cfRule type="expression" dxfId="932" priority="9935">
      <formula>$C1932="%IN"</formula>
    </cfRule>
    <cfRule type="expression" dxfId="931" priority="9936" stopIfTrue="1">
      <formula>$E1932=0</formula>
    </cfRule>
  </conditionalFormatting>
  <conditionalFormatting sqref="G1976:G1984">
    <cfRule type="expression" dxfId="930" priority="9940">
      <formula>$D1976&gt;1</formula>
    </cfRule>
    <cfRule type="expression" dxfId="929" priority="9941">
      <formula>$C1976="%IN"</formula>
    </cfRule>
    <cfRule type="expression" dxfId="928" priority="9942" stopIfTrue="1">
      <formula>$E1976=0</formula>
    </cfRule>
  </conditionalFormatting>
  <conditionalFormatting sqref="G1991:G1999">
    <cfRule type="expression" dxfId="927" priority="9943">
      <formula>$D1991&gt;1</formula>
    </cfRule>
    <cfRule type="expression" dxfId="926" priority="9944">
      <formula>$C1991="%IN"</formula>
    </cfRule>
    <cfRule type="expression" dxfId="925" priority="9945" stopIfTrue="1">
      <formula>$E1991=0</formula>
    </cfRule>
  </conditionalFormatting>
  <conditionalFormatting sqref="G2004:G2011">
    <cfRule type="expression" dxfId="924" priority="9946">
      <formula>$D2004&gt;1</formula>
    </cfRule>
    <cfRule type="expression" dxfId="923" priority="9947">
      <formula>$C2004="%IN"</formula>
    </cfRule>
    <cfRule type="expression" dxfId="922" priority="9948" stopIfTrue="1">
      <formula>$E2004=0</formula>
    </cfRule>
  </conditionalFormatting>
  <conditionalFormatting sqref="G2024:G2029">
    <cfRule type="expression" dxfId="921" priority="9949">
      <formula>$D2024&gt;1</formula>
    </cfRule>
    <cfRule type="expression" dxfId="920" priority="9950">
      <formula>$C2024="%IN"</formula>
    </cfRule>
    <cfRule type="expression" dxfId="919" priority="9951" stopIfTrue="1">
      <formula>$E2024=0</formula>
    </cfRule>
  </conditionalFormatting>
  <conditionalFormatting sqref="G2035:G2046">
    <cfRule type="expression" dxfId="918" priority="9952">
      <formula>$D2035&gt;1</formula>
    </cfRule>
    <cfRule type="expression" dxfId="917" priority="9953">
      <formula>$C2035="%IN"</formula>
    </cfRule>
    <cfRule type="expression" dxfId="916" priority="9954" stopIfTrue="1">
      <formula>$E2035=0</formula>
    </cfRule>
  </conditionalFormatting>
  <conditionalFormatting sqref="G2053:G2061">
    <cfRule type="expression" dxfId="915" priority="9955">
      <formula>$D2053&gt;1</formula>
    </cfRule>
    <cfRule type="expression" dxfId="914" priority="9956">
      <formula>$C2053="%IN"</formula>
    </cfRule>
    <cfRule type="expression" dxfId="913" priority="9957" stopIfTrue="1">
      <formula>$E2053=0</formula>
    </cfRule>
  </conditionalFormatting>
  <conditionalFormatting sqref="G2123:G2128">
    <cfRule type="expression" dxfId="912" priority="9970">
      <formula>$D2123&gt;1</formula>
    </cfRule>
    <cfRule type="expression" dxfId="911" priority="9971">
      <formula>$C2123="%IN"</formula>
    </cfRule>
    <cfRule type="expression" dxfId="910" priority="9972" stopIfTrue="1">
      <formula>$E2123=0</formula>
    </cfRule>
  </conditionalFormatting>
  <conditionalFormatting sqref="G2184:G2189">
    <cfRule type="expression" dxfId="909" priority="9973">
      <formula>$D2184&gt;1</formula>
    </cfRule>
    <cfRule type="expression" dxfId="908" priority="9974">
      <formula>$C2184="%IN"</formula>
    </cfRule>
    <cfRule type="expression" dxfId="907" priority="9975" stopIfTrue="1">
      <formula>$E2184=0</formula>
    </cfRule>
  </conditionalFormatting>
  <conditionalFormatting sqref="G2207:G2216">
    <cfRule type="expression" dxfId="906" priority="9976">
      <formula>$D2207&gt;1</formula>
    </cfRule>
    <cfRule type="expression" dxfId="905" priority="9977">
      <formula>$C2207="%IN"</formula>
    </cfRule>
    <cfRule type="expression" dxfId="904" priority="9978" stopIfTrue="1">
      <formula>$E2207=0</formula>
    </cfRule>
  </conditionalFormatting>
  <conditionalFormatting sqref="G2221:G2225">
    <cfRule type="expression" dxfId="903" priority="9979">
      <formula>$D2221&gt;1</formula>
    </cfRule>
    <cfRule type="expression" dxfId="902" priority="9980">
      <formula>$C2221="%IN"</formula>
    </cfRule>
    <cfRule type="expression" dxfId="901" priority="9981" stopIfTrue="1">
      <formula>$E2221=0</formula>
    </cfRule>
  </conditionalFormatting>
  <conditionalFormatting sqref="G2237:G2245">
    <cfRule type="expression" dxfId="900" priority="9982">
      <formula>$D2237&gt;1</formula>
    </cfRule>
    <cfRule type="expression" dxfId="899" priority="9983">
      <formula>$C2237="%IN"</formula>
    </cfRule>
    <cfRule type="expression" dxfId="898" priority="9984" stopIfTrue="1">
      <formula>$E2237=0</formula>
    </cfRule>
  </conditionalFormatting>
  <conditionalFormatting sqref="G2250:G2258">
    <cfRule type="expression" dxfId="897" priority="9985">
      <formula>$D2250&gt;1</formula>
    </cfRule>
    <cfRule type="expression" dxfId="896" priority="9986">
      <formula>$C2250="%IN"</formula>
    </cfRule>
    <cfRule type="expression" dxfId="895" priority="9987" stopIfTrue="1">
      <formula>$E2250=0</formula>
    </cfRule>
  </conditionalFormatting>
  <conditionalFormatting sqref="G2263:G2271">
    <cfRule type="expression" dxfId="894" priority="9988">
      <formula>$D2263&gt;1</formula>
    </cfRule>
    <cfRule type="expression" dxfId="893" priority="9989">
      <formula>$C2263="%IN"</formula>
    </cfRule>
    <cfRule type="expression" dxfId="892" priority="9990" stopIfTrue="1">
      <formula>$E2263=0</formula>
    </cfRule>
  </conditionalFormatting>
  <conditionalFormatting sqref="G2278:G2284">
    <cfRule type="expression" dxfId="891" priority="9991">
      <formula>$D2278&gt;1</formula>
    </cfRule>
    <cfRule type="expression" dxfId="890" priority="9992">
      <formula>$C2278="%IN"</formula>
    </cfRule>
    <cfRule type="expression" dxfId="889" priority="9993" stopIfTrue="1">
      <formula>$E2278=0</formula>
    </cfRule>
  </conditionalFormatting>
  <conditionalFormatting sqref="G2298:G2306">
    <cfRule type="expression" dxfId="888" priority="9994">
      <formula>$D2298&gt;1</formula>
    </cfRule>
    <cfRule type="expression" dxfId="887" priority="9995">
      <formula>$C2298="%IN"</formula>
    </cfRule>
    <cfRule type="expression" dxfId="886" priority="9996" stopIfTrue="1">
      <formula>$E2298=0</formula>
    </cfRule>
  </conditionalFormatting>
  <conditionalFormatting sqref="G2335:G2340">
    <cfRule type="expression" dxfId="885" priority="9997">
      <formula>$D2335&gt;1</formula>
    </cfRule>
    <cfRule type="expression" dxfId="884" priority="9998">
      <formula>$C2335="%IN"</formula>
    </cfRule>
    <cfRule type="expression" dxfId="883" priority="9999" stopIfTrue="1">
      <formula>$E2335=0</formula>
    </cfRule>
  </conditionalFormatting>
  <conditionalFormatting sqref="G2381:G2389">
    <cfRule type="expression" dxfId="882" priority="10003">
      <formula>$D2381&gt;1</formula>
    </cfRule>
    <cfRule type="expression" dxfId="881" priority="10004">
      <formula>$C2381="%IN"</formula>
    </cfRule>
    <cfRule type="expression" dxfId="880" priority="10005" stopIfTrue="1">
      <formula>$E2381=0</formula>
    </cfRule>
  </conditionalFormatting>
  <conditionalFormatting sqref="G2394:G2399">
    <cfRule type="expression" dxfId="879" priority="10006">
      <formula>$D2394&gt;1</formula>
    </cfRule>
    <cfRule type="expression" dxfId="878" priority="10007">
      <formula>$C2394="%IN"</formula>
    </cfRule>
    <cfRule type="expression" dxfId="877" priority="10008" stopIfTrue="1">
      <formula>$E2394=0</formula>
    </cfRule>
  </conditionalFormatting>
  <conditionalFormatting sqref="G2371:G2376">
    <cfRule type="expression" dxfId="876" priority="10009">
      <formula>$D2371&gt;1</formula>
    </cfRule>
    <cfRule type="expression" dxfId="875" priority="10010">
      <formula>$C2371="%IN"</formula>
    </cfRule>
    <cfRule type="expression" dxfId="874" priority="10011" stopIfTrue="1">
      <formula>$E2371=0</formula>
    </cfRule>
  </conditionalFormatting>
  <conditionalFormatting sqref="G2468:G2494">
    <cfRule type="expression" dxfId="873" priority="10012">
      <formula>$D2468&gt;1</formula>
    </cfRule>
    <cfRule type="expression" dxfId="872" priority="10013">
      <formula>$C2468="%IN"</formula>
    </cfRule>
    <cfRule type="expression" dxfId="871" priority="10014" stopIfTrue="1">
      <formula>$E2468=0</formula>
    </cfRule>
  </conditionalFormatting>
  <conditionalFormatting sqref="G2509:G2517">
    <cfRule type="expression" dxfId="870" priority="10015">
      <formula>$D2509&gt;1</formula>
    </cfRule>
    <cfRule type="expression" dxfId="869" priority="10016">
      <formula>$C2509="%IN"</formula>
    </cfRule>
    <cfRule type="expression" dxfId="868" priority="10017" stopIfTrue="1">
      <formula>$E2509=0</formula>
    </cfRule>
  </conditionalFormatting>
  <conditionalFormatting sqref="G2631:G2636">
    <cfRule type="expression" dxfId="867" priority="10018">
      <formula>$D2631&gt;1</formula>
    </cfRule>
    <cfRule type="expression" dxfId="866" priority="10019">
      <formula>$C2631="%IN"</formula>
    </cfRule>
    <cfRule type="expression" dxfId="865" priority="10020" stopIfTrue="1">
      <formula>$E2631=0</formula>
    </cfRule>
  </conditionalFormatting>
  <conditionalFormatting sqref="G2722:G2731">
    <cfRule type="expression" dxfId="864" priority="10021">
      <formula>$D2722&gt;1</formula>
    </cfRule>
    <cfRule type="expression" dxfId="863" priority="10022">
      <formula>$C2722="%IN"</formula>
    </cfRule>
    <cfRule type="expression" dxfId="862" priority="10023" stopIfTrue="1">
      <formula>$E2722=0</formula>
    </cfRule>
  </conditionalFormatting>
  <conditionalFormatting sqref="G2736:G2746">
    <cfRule type="expression" dxfId="861" priority="10024">
      <formula>$D2736&gt;1</formula>
    </cfRule>
    <cfRule type="expression" dxfId="860" priority="10025">
      <formula>$C2736="%IN"</formula>
    </cfRule>
    <cfRule type="expression" dxfId="859" priority="10026" stopIfTrue="1">
      <formula>$E2736=0</formula>
    </cfRule>
  </conditionalFormatting>
  <conditionalFormatting sqref="G2751:G2759">
    <cfRule type="expression" dxfId="858" priority="10027">
      <formula>$D2751&gt;1</formula>
    </cfRule>
    <cfRule type="expression" dxfId="857" priority="10028">
      <formula>$C2751="%IN"</formula>
    </cfRule>
    <cfRule type="expression" dxfId="856" priority="10029" stopIfTrue="1">
      <formula>$E2751=0</formula>
    </cfRule>
  </conditionalFormatting>
  <conditionalFormatting sqref="G2708:G2717">
    <cfRule type="expression" dxfId="855" priority="10030">
      <formula>$D2708&gt;1</formula>
    </cfRule>
    <cfRule type="expression" dxfId="854" priority="10031">
      <formula>$C2708="%IN"</formula>
    </cfRule>
    <cfRule type="expression" dxfId="853" priority="10032" stopIfTrue="1">
      <formula>$E2708=0</formula>
    </cfRule>
  </conditionalFormatting>
  <conditionalFormatting sqref="I920">
    <cfRule type="expression" dxfId="852" priority="154" stopIfTrue="1">
      <formula>$I920="适用"</formula>
    </cfRule>
    <cfRule type="expression" dxfId="851" priority="155" stopIfTrue="1">
      <formula>$I920="不适用"</formula>
    </cfRule>
  </conditionalFormatting>
  <conditionalFormatting sqref="Q920:Q921 Q923:Q932">
    <cfRule type="expression" dxfId="850" priority="153" stopIfTrue="1">
      <formula>$Q920="请输入"</formula>
    </cfRule>
  </conditionalFormatting>
  <conditionalFormatting sqref="G923:G931">
    <cfRule type="expression" dxfId="849" priority="10033">
      <formula>$D923&gt;1</formula>
    </cfRule>
    <cfRule type="expression" dxfId="848" priority="10034">
      <formula>$C923="%IN"</formula>
    </cfRule>
    <cfRule type="expression" dxfId="847" priority="10035" stopIfTrue="1">
      <formula>$E923=0</formula>
    </cfRule>
  </conditionalFormatting>
  <conditionalFormatting sqref="G2784:G2794">
    <cfRule type="expression" dxfId="846" priority="10039">
      <formula>$D2784&gt;1</formula>
    </cfRule>
    <cfRule type="expression" dxfId="845" priority="10040">
      <formula>$C2784="%IN"</formula>
    </cfRule>
    <cfRule type="expression" dxfId="844" priority="10041" stopIfTrue="1">
      <formula>$E2784=0</formula>
    </cfRule>
  </conditionalFormatting>
  <conditionalFormatting sqref="G2774:G2779">
    <cfRule type="expression" dxfId="843" priority="10042">
      <formula>$D2774&gt;1</formula>
    </cfRule>
    <cfRule type="expression" dxfId="842" priority="10043">
      <formula>$C2774="%IN"</formula>
    </cfRule>
    <cfRule type="expression" dxfId="841" priority="10044" stopIfTrue="1">
      <formula>$E2774=0</formula>
    </cfRule>
  </conditionalFormatting>
  <conditionalFormatting sqref="G2764:G2769">
    <cfRule type="expression" dxfId="840" priority="10045">
      <formula>$D2764&gt;1</formula>
    </cfRule>
    <cfRule type="expression" dxfId="839" priority="10046">
      <formula>$C2764="%IN"</formula>
    </cfRule>
    <cfRule type="expression" dxfId="838" priority="10047" stopIfTrue="1">
      <formula>$E2764=0</formula>
    </cfRule>
  </conditionalFormatting>
  <conditionalFormatting sqref="G2813:G2818">
    <cfRule type="expression" dxfId="837" priority="10048">
      <formula>$D2813&gt;1</formula>
    </cfRule>
    <cfRule type="expression" dxfId="836" priority="10049">
      <formula>$C2813="%IN"</formula>
    </cfRule>
    <cfRule type="expression" dxfId="835" priority="10050" stopIfTrue="1">
      <formula>$E2813=0</formula>
    </cfRule>
  </conditionalFormatting>
  <conditionalFormatting sqref="G2850:G2860">
    <cfRule type="expression" dxfId="834" priority="10051">
      <formula>$D2850&gt;1</formula>
    </cfRule>
    <cfRule type="expression" dxfId="833" priority="10052">
      <formula>$C2850="%IN"</formula>
    </cfRule>
    <cfRule type="expression" dxfId="832" priority="10053" stopIfTrue="1">
      <formula>$E2850=0</formula>
    </cfRule>
  </conditionalFormatting>
  <conditionalFormatting sqref="G2865:G2875">
    <cfRule type="expression" dxfId="831" priority="10054">
      <formula>$D2865&gt;1</formula>
    </cfRule>
    <cfRule type="expression" dxfId="830" priority="10055">
      <formula>$C2865="%IN"</formula>
    </cfRule>
    <cfRule type="expression" dxfId="829" priority="10056" stopIfTrue="1">
      <formula>$E2865=0</formula>
    </cfRule>
  </conditionalFormatting>
  <conditionalFormatting sqref="G2880:G2888">
    <cfRule type="expression" dxfId="828" priority="10057">
      <formula>$D2880&gt;1</formula>
    </cfRule>
    <cfRule type="expression" dxfId="827" priority="10058">
      <formula>$C2880="%IN"</formula>
    </cfRule>
    <cfRule type="expression" dxfId="826" priority="10059" stopIfTrue="1">
      <formula>$E2880=0</formula>
    </cfRule>
  </conditionalFormatting>
  <conditionalFormatting sqref="G2900:G2905">
    <cfRule type="expression" dxfId="825" priority="10060">
      <formula>$D2900&gt;1</formula>
    </cfRule>
    <cfRule type="expression" dxfId="824" priority="10061">
      <formula>$C2900="%IN"</formula>
    </cfRule>
    <cfRule type="expression" dxfId="823" priority="10062" stopIfTrue="1">
      <formula>$E2900=0</formula>
    </cfRule>
  </conditionalFormatting>
  <conditionalFormatting sqref="G3116:G3124">
    <cfRule type="expression" dxfId="822" priority="10063">
      <formula>$D3116&gt;1</formula>
    </cfRule>
    <cfRule type="expression" dxfId="821" priority="10064">
      <formula>$C3116="%IN"</formula>
    </cfRule>
    <cfRule type="expression" dxfId="820" priority="10065" stopIfTrue="1">
      <formula>$E3116=0</formula>
    </cfRule>
  </conditionalFormatting>
  <conditionalFormatting sqref="G3129:G3134">
    <cfRule type="expression" dxfId="819" priority="10066">
      <formula>$D3129&gt;1</formula>
    </cfRule>
    <cfRule type="expression" dxfId="818" priority="10067">
      <formula>$C3129="%IN"</formula>
    </cfRule>
    <cfRule type="expression" dxfId="817" priority="10068" stopIfTrue="1">
      <formula>$E3129=0</formula>
    </cfRule>
  </conditionalFormatting>
  <conditionalFormatting sqref="G3165:G3172">
    <cfRule type="expression" dxfId="816" priority="10076">
      <formula>$D3165&gt;1</formula>
    </cfRule>
    <cfRule type="expression" dxfId="815" priority="10077">
      <formula>$C3165="%IN"</formula>
    </cfRule>
    <cfRule type="expression" dxfId="814" priority="10078" stopIfTrue="1">
      <formula>$E3165=0</formula>
    </cfRule>
  </conditionalFormatting>
  <conditionalFormatting sqref="L3136">
    <cfRule type="expression" dxfId="813" priority="10079" stopIfTrue="1">
      <formula>OR($L$3136="F/S",$L$3136="")</formula>
    </cfRule>
    <cfRule type="cellIs" dxfId="812" priority="10080" stopIfTrue="1" operator="notEqual">
      <formula>0</formula>
    </cfRule>
  </conditionalFormatting>
  <conditionalFormatting sqref="O3136:O3148">
    <cfRule type="expression" dxfId="811" priority="10081" stopIfTrue="1">
      <formula>OR($O$3136="F/S",$O$3136="")</formula>
    </cfRule>
    <cfRule type="cellIs" dxfId="810" priority="10082" stopIfTrue="1" operator="notEqual">
      <formula>0</formula>
    </cfRule>
  </conditionalFormatting>
  <conditionalFormatting sqref="I3136">
    <cfRule type="expression" dxfId="809" priority="140" stopIfTrue="1">
      <formula>$I3136="适用"</formula>
    </cfRule>
    <cfRule type="expression" dxfId="808" priority="141" stopIfTrue="1">
      <formula>$I3136="不适用"</formula>
    </cfRule>
  </conditionalFormatting>
  <conditionalFormatting sqref="Q3136:Q3161">
    <cfRule type="expression" dxfId="807" priority="139" stopIfTrue="1">
      <formula>$Q3136="请输入"</formula>
    </cfRule>
  </conditionalFormatting>
  <conditionalFormatting sqref="L3149">
    <cfRule type="expression" dxfId="806" priority="10086" stopIfTrue="1">
      <formula>OR($L$3149="F/S",$L$3149="")</formula>
    </cfRule>
    <cfRule type="cellIs" dxfId="805" priority="10087" stopIfTrue="1" operator="notEqual">
      <formula>0</formula>
    </cfRule>
  </conditionalFormatting>
  <conditionalFormatting sqref="O3149">
    <cfRule type="expression" dxfId="804" priority="10088" stopIfTrue="1">
      <formula>OR($O$3149="F/S",$O$3149="")</formula>
    </cfRule>
    <cfRule type="cellIs" dxfId="803" priority="10089" stopIfTrue="1" operator="notEqual">
      <formula>0</formula>
    </cfRule>
  </conditionalFormatting>
  <conditionalFormatting sqref="I3149">
    <cfRule type="expression" dxfId="802" priority="133" stopIfTrue="1">
      <formula>$I3149="适用"</formula>
    </cfRule>
    <cfRule type="expression" dxfId="801" priority="134" stopIfTrue="1">
      <formula>$I3149="不适用"</formula>
    </cfRule>
  </conditionalFormatting>
  <conditionalFormatting sqref="Q3149:Q3161">
    <cfRule type="expression" dxfId="800" priority="132" stopIfTrue="1">
      <formula>$Q3149="请输入"</formula>
    </cfRule>
  </conditionalFormatting>
  <conditionalFormatting sqref="G3139:G3147">
    <cfRule type="expression" dxfId="799" priority="10093">
      <formula>$D3139&gt;1</formula>
    </cfRule>
    <cfRule type="expression" dxfId="798" priority="10094">
      <formula>$C3139="%IN"</formula>
    </cfRule>
    <cfRule type="expression" dxfId="797" priority="10095" stopIfTrue="1">
      <formula>$E3139=0</formula>
    </cfRule>
  </conditionalFormatting>
  <conditionalFormatting sqref="G3152:G3160">
    <cfRule type="expression" dxfId="796" priority="10096">
      <formula>$D3152&gt;1</formula>
    </cfRule>
    <cfRule type="expression" dxfId="795" priority="10097">
      <formula>$C3152="%IN"</formula>
    </cfRule>
    <cfRule type="expression" dxfId="794" priority="10098" stopIfTrue="1">
      <formula>$E3152=0</formula>
    </cfRule>
  </conditionalFormatting>
  <conditionalFormatting sqref="G3193:G3198">
    <cfRule type="expression" dxfId="793" priority="10099">
      <formula>$D3193&gt;1</formula>
    </cfRule>
    <cfRule type="expression" dxfId="792" priority="10100">
      <formula>$C3193="%IN"</formula>
    </cfRule>
    <cfRule type="expression" dxfId="791" priority="10101" stopIfTrue="1">
      <formula>$E3193=0</formula>
    </cfRule>
  </conditionalFormatting>
  <conditionalFormatting sqref="G3205:G3210">
    <cfRule type="expression" dxfId="790" priority="10102">
      <formula>$D3205&gt;1</formula>
    </cfRule>
    <cfRule type="expression" dxfId="789" priority="10103">
      <formula>$C3205="%IN"</formula>
    </cfRule>
    <cfRule type="expression" dxfId="788" priority="10104" stopIfTrue="1">
      <formula>$E3205=0</formula>
    </cfRule>
  </conditionalFormatting>
  <conditionalFormatting sqref="G3289:G3296">
    <cfRule type="expression" dxfId="787" priority="10105">
      <formula>$D3289&gt;1</formula>
    </cfRule>
    <cfRule type="expression" dxfId="786" priority="10106">
      <formula>$C3289="%IN"</formula>
    </cfRule>
    <cfRule type="expression" dxfId="785" priority="10107" stopIfTrue="1">
      <formula>$E3289=0</formula>
    </cfRule>
  </conditionalFormatting>
  <conditionalFormatting sqref="G3245:G3254">
    <cfRule type="expression" dxfId="784" priority="10108">
      <formula>$D3245&gt;1</formula>
    </cfRule>
    <cfRule type="expression" dxfId="783" priority="10109">
      <formula>$C3245="%IN"</formula>
    </cfRule>
    <cfRule type="expression" dxfId="782" priority="10110" stopIfTrue="1">
      <formula>$E3245=0</formula>
    </cfRule>
  </conditionalFormatting>
  <conditionalFormatting sqref="G3261:G3267">
    <cfRule type="expression" dxfId="781" priority="10111">
      <formula>$D3261&gt;1</formula>
    </cfRule>
    <cfRule type="expression" dxfId="780" priority="10112">
      <formula>$C3261="%IN"</formula>
    </cfRule>
    <cfRule type="expression" dxfId="779" priority="10113" stopIfTrue="1">
      <formula>$E3261=0</formula>
    </cfRule>
  </conditionalFormatting>
  <conditionalFormatting sqref="G3272:G3274">
    <cfRule type="expression" dxfId="778" priority="10114">
      <formula>$D3272&gt;1</formula>
    </cfRule>
    <cfRule type="expression" dxfId="777" priority="10115">
      <formula>$C3272="%IN"</formula>
    </cfRule>
    <cfRule type="expression" dxfId="776" priority="10116" stopIfTrue="1">
      <formula>$E3272=0</formula>
    </cfRule>
  </conditionalFormatting>
  <conditionalFormatting sqref="G3279:G3284">
    <cfRule type="expression" dxfId="775" priority="10117">
      <formula>$D3279&gt;1</formula>
    </cfRule>
    <cfRule type="expression" dxfId="774" priority="10118">
      <formula>$C3279="%IN"</formula>
    </cfRule>
    <cfRule type="expression" dxfId="773" priority="10119" stopIfTrue="1">
      <formula>$E3279=0</formula>
    </cfRule>
  </conditionalFormatting>
  <conditionalFormatting sqref="G3332:G3337">
    <cfRule type="expression" dxfId="772" priority="10120">
      <formula>$D3332&gt;1</formula>
    </cfRule>
    <cfRule type="expression" dxfId="771" priority="10121">
      <formula>$C3332="%IN"</formula>
    </cfRule>
    <cfRule type="expression" dxfId="770" priority="10122" stopIfTrue="1">
      <formula>$E3332=0</formula>
    </cfRule>
  </conditionalFormatting>
  <conditionalFormatting sqref="G3342:G3347">
    <cfRule type="expression" dxfId="769" priority="10123">
      <formula>$D3342&gt;1</formula>
    </cfRule>
    <cfRule type="expression" dxfId="768" priority="10124">
      <formula>$C3342="%IN"</formula>
    </cfRule>
    <cfRule type="expression" dxfId="767" priority="10125" stopIfTrue="1">
      <formula>$E3342=0</formula>
    </cfRule>
  </conditionalFormatting>
  <conditionalFormatting sqref="G3352:G3357">
    <cfRule type="expression" dxfId="766" priority="10126">
      <formula>$D3352&gt;1</formula>
    </cfRule>
    <cfRule type="expression" dxfId="765" priority="10127">
      <formula>$C3352="%IN"</formula>
    </cfRule>
    <cfRule type="expression" dxfId="764" priority="10128" stopIfTrue="1">
      <formula>$E3352=0</formula>
    </cfRule>
  </conditionalFormatting>
  <conditionalFormatting sqref="G3446:G3452">
    <cfRule type="expression" dxfId="763" priority="10129">
      <formula>$D3446&gt;1</formula>
    </cfRule>
    <cfRule type="expression" dxfId="762" priority="10130">
      <formula>$C3446="%IN"</formula>
    </cfRule>
    <cfRule type="expression" dxfId="761" priority="10131" stopIfTrue="1">
      <formula>$E3446=0</formula>
    </cfRule>
  </conditionalFormatting>
  <conditionalFormatting sqref="G3474:G3479">
    <cfRule type="expression" dxfId="760" priority="10132">
      <formula>$D3474&gt;1</formula>
    </cfRule>
    <cfRule type="expression" dxfId="759" priority="10133">
      <formula>$C3474="%IN"</formula>
    </cfRule>
    <cfRule type="expression" dxfId="758" priority="10134" stopIfTrue="1">
      <formula>$E3474=0</formula>
    </cfRule>
  </conditionalFormatting>
  <conditionalFormatting sqref="G3504:G3509">
    <cfRule type="expression" dxfId="757" priority="10135">
      <formula>$D3504&gt;1</formula>
    </cfRule>
    <cfRule type="expression" dxfId="756" priority="10136">
      <formula>$C3504="%IN"</formula>
    </cfRule>
    <cfRule type="expression" dxfId="755" priority="10137" stopIfTrue="1">
      <formula>$E3504=0</formula>
    </cfRule>
  </conditionalFormatting>
  <conditionalFormatting sqref="G3571:G3576">
    <cfRule type="expression" dxfId="754" priority="10138">
      <formula>$D3571&gt;1</formula>
    </cfRule>
    <cfRule type="expression" dxfId="753" priority="10139">
      <formula>$C3571="%IN"</formula>
    </cfRule>
    <cfRule type="expression" dxfId="752" priority="10140" stopIfTrue="1">
      <formula>$E3571=0</formula>
    </cfRule>
  </conditionalFormatting>
  <conditionalFormatting sqref="G3581:G3586">
    <cfRule type="expression" dxfId="751" priority="10141">
      <formula>$D3581&gt;1</formula>
    </cfRule>
    <cfRule type="expression" dxfId="750" priority="10142">
      <formula>$C3581="%IN"</formula>
    </cfRule>
    <cfRule type="expression" dxfId="749" priority="10143" stopIfTrue="1">
      <formula>$E3581=0</formula>
    </cfRule>
  </conditionalFormatting>
  <conditionalFormatting sqref="G3621:G3626">
    <cfRule type="expression" dxfId="748" priority="10144">
      <formula>$D3621&gt;1</formula>
    </cfRule>
    <cfRule type="expression" dxfId="747" priority="10145">
      <formula>$C3621="%IN"</formula>
    </cfRule>
    <cfRule type="expression" dxfId="746" priority="10146" stopIfTrue="1">
      <formula>$E3621=0</formula>
    </cfRule>
  </conditionalFormatting>
  <conditionalFormatting sqref="G3631:G3648">
    <cfRule type="expression" dxfId="745" priority="10147">
      <formula>$D3631&gt;1</formula>
    </cfRule>
    <cfRule type="expression" dxfId="744" priority="10148">
      <formula>$C3631="%IN"</formula>
    </cfRule>
    <cfRule type="expression" dxfId="743" priority="10149" stopIfTrue="1">
      <formula>$E3631=0</formula>
    </cfRule>
  </conditionalFormatting>
  <conditionalFormatting sqref="G3684:G3711">
    <cfRule type="expression" dxfId="742" priority="10153">
      <formula>$D3684&gt;1</formula>
    </cfRule>
    <cfRule type="expression" dxfId="741" priority="10154">
      <formula>$C3684="%IN"</formula>
    </cfRule>
    <cfRule type="expression" dxfId="740" priority="10155" stopIfTrue="1">
      <formula>$E3684=0</formula>
    </cfRule>
  </conditionalFormatting>
  <conditionalFormatting sqref="G3793:G3798">
    <cfRule type="expression" dxfId="739" priority="10156">
      <formula>$D3793&gt;1</formula>
    </cfRule>
    <cfRule type="expression" dxfId="738" priority="10157">
      <formula>$C3793="%IN"</formula>
    </cfRule>
    <cfRule type="expression" dxfId="737" priority="10158" stopIfTrue="1">
      <formula>$E3793=0</formula>
    </cfRule>
  </conditionalFormatting>
  <conditionalFormatting sqref="G3832:G3837">
    <cfRule type="expression" dxfId="736" priority="10159">
      <formula>$D3832&gt;1</formula>
    </cfRule>
    <cfRule type="expression" dxfId="735" priority="10160">
      <formula>$C3832="%IN"</formula>
    </cfRule>
    <cfRule type="expression" dxfId="734" priority="10161" stopIfTrue="1">
      <formula>$E3832=0</formula>
    </cfRule>
  </conditionalFormatting>
  <conditionalFormatting sqref="G3859:G3864">
    <cfRule type="expression" dxfId="733" priority="10162">
      <formula>$D3859&gt;1</formula>
    </cfRule>
    <cfRule type="expression" dxfId="732" priority="10163">
      <formula>$C3859="%IN"</formula>
    </cfRule>
    <cfRule type="expression" dxfId="731" priority="10164" stopIfTrue="1">
      <formula>$E3859=0</formula>
    </cfRule>
  </conditionalFormatting>
  <conditionalFormatting sqref="G3869:G3874">
    <cfRule type="expression" dxfId="730" priority="10165">
      <formula>$D3869&gt;1</formula>
    </cfRule>
    <cfRule type="expression" dxfId="729" priority="10166">
      <formula>$C3869="%IN"</formula>
    </cfRule>
    <cfRule type="expression" dxfId="728" priority="10167" stopIfTrue="1">
      <formula>$E3869=0</formula>
    </cfRule>
  </conditionalFormatting>
  <conditionalFormatting sqref="G3930:G3935">
    <cfRule type="expression" dxfId="727" priority="10168">
      <formula>$D3930&gt;1</formula>
    </cfRule>
    <cfRule type="expression" dxfId="726" priority="10169">
      <formula>$C3930="%IN"</formula>
    </cfRule>
    <cfRule type="expression" dxfId="725" priority="10170" stopIfTrue="1">
      <formula>$E3930=0</formula>
    </cfRule>
  </conditionalFormatting>
  <conditionalFormatting sqref="G3940:G3945">
    <cfRule type="expression" dxfId="724" priority="10171">
      <formula>$D3940&gt;1</formula>
    </cfRule>
    <cfRule type="expression" dxfId="723" priority="10172">
      <formula>$C3940="%IN"</formula>
    </cfRule>
    <cfRule type="expression" dxfId="722" priority="10173" stopIfTrue="1">
      <formula>$E3940=0</formula>
    </cfRule>
  </conditionalFormatting>
  <conditionalFormatting sqref="G3950:G3955">
    <cfRule type="expression" dxfId="721" priority="10174">
      <formula>$D3950&gt;1</formula>
    </cfRule>
    <cfRule type="expression" dxfId="720" priority="10175">
      <formula>$C3950="%IN"</formula>
    </cfRule>
    <cfRule type="expression" dxfId="719" priority="10176" stopIfTrue="1">
      <formula>$E3950=0</formula>
    </cfRule>
  </conditionalFormatting>
  <conditionalFormatting sqref="G3960:G3965">
    <cfRule type="expression" dxfId="718" priority="10177">
      <formula>$D3960&gt;1</formula>
    </cfRule>
    <cfRule type="expression" dxfId="717" priority="10178">
      <formula>$C3960="%IN"</formula>
    </cfRule>
    <cfRule type="expression" dxfId="716" priority="10179" stopIfTrue="1">
      <formula>$E3960=0</formula>
    </cfRule>
  </conditionalFormatting>
  <conditionalFormatting sqref="G4000:G4008">
    <cfRule type="expression" dxfId="715" priority="10180">
      <formula>$D4000&gt;1</formula>
    </cfRule>
    <cfRule type="expression" dxfId="714" priority="10181">
      <formula>$C4000="%IN"</formula>
    </cfRule>
    <cfRule type="expression" dxfId="713" priority="10182" stopIfTrue="1">
      <formula>$E4000=0</formula>
    </cfRule>
  </conditionalFormatting>
  <conditionalFormatting sqref="G4013:G4018">
    <cfRule type="expression" dxfId="712" priority="10183">
      <formula>$D4013&gt;1</formula>
    </cfRule>
    <cfRule type="expression" dxfId="711" priority="10184">
      <formula>$C4013="%IN"</formula>
    </cfRule>
    <cfRule type="expression" dxfId="710" priority="10185" stopIfTrue="1">
      <formula>$E4013=0</formula>
    </cfRule>
  </conditionalFormatting>
  <conditionalFormatting sqref="G4023:G4028">
    <cfRule type="expression" dxfId="709" priority="10186">
      <formula>$D4023&gt;1</formula>
    </cfRule>
    <cfRule type="expression" dxfId="708" priority="10187">
      <formula>$C4023="%IN"</formula>
    </cfRule>
    <cfRule type="expression" dxfId="707" priority="10188" stopIfTrue="1">
      <formula>$E4023=0</formula>
    </cfRule>
  </conditionalFormatting>
  <conditionalFormatting sqref="G4033:G4038">
    <cfRule type="expression" dxfId="706" priority="10189">
      <formula>$D4033&gt;1</formula>
    </cfRule>
    <cfRule type="expression" dxfId="705" priority="10190">
      <formula>$C4033="%IN"</formula>
    </cfRule>
    <cfRule type="expression" dxfId="704" priority="10191" stopIfTrue="1">
      <formula>$E4033=0</formula>
    </cfRule>
  </conditionalFormatting>
  <conditionalFormatting sqref="G4077:G4082">
    <cfRule type="expression" dxfId="703" priority="10192">
      <formula>$D4077&gt;1</formula>
    </cfRule>
    <cfRule type="expression" dxfId="702" priority="10193">
      <formula>$C4077="%IN"</formula>
    </cfRule>
    <cfRule type="expression" dxfId="701" priority="10194" stopIfTrue="1">
      <formula>$E4077=0</formula>
    </cfRule>
  </conditionalFormatting>
  <conditionalFormatting sqref="G4121:G4127">
    <cfRule type="expression" dxfId="700" priority="10195">
      <formula>$D4121&gt;1</formula>
    </cfRule>
    <cfRule type="expression" dxfId="699" priority="10196">
      <formula>$C4121="%IN"</formula>
    </cfRule>
    <cfRule type="expression" dxfId="698" priority="10197" stopIfTrue="1">
      <formula>$E4121=0</formula>
    </cfRule>
  </conditionalFormatting>
  <conditionalFormatting sqref="G4150:G4155">
    <cfRule type="expression" dxfId="697" priority="10198">
      <formula>$D4150&gt;1</formula>
    </cfRule>
    <cfRule type="expression" dxfId="696" priority="10199">
      <formula>$C4150="%IN"</formula>
    </cfRule>
    <cfRule type="expression" dxfId="695" priority="10200" stopIfTrue="1">
      <formula>$E4150=0</formula>
    </cfRule>
  </conditionalFormatting>
  <conditionalFormatting sqref="G4171:G4176">
    <cfRule type="expression" dxfId="694" priority="10201">
      <formula>$D4171&gt;1</formula>
    </cfRule>
    <cfRule type="expression" dxfId="693" priority="10202">
      <formula>$C4171="%IN"</formula>
    </cfRule>
    <cfRule type="expression" dxfId="692" priority="10203" stopIfTrue="1">
      <formula>$E4171=0</formula>
    </cfRule>
  </conditionalFormatting>
  <conditionalFormatting sqref="G4225:G4231">
    <cfRule type="expression" dxfId="691" priority="10213">
      <formula>$D4225&gt;1</formula>
    </cfRule>
    <cfRule type="expression" dxfId="690" priority="10214">
      <formula>$C4225="%IN"</formula>
    </cfRule>
    <cfRule type="expression" dxfId="689" priority="10215" stopIfTrue="1">
      <formula>$E4225=0</formula>
    </cfRule>
  </conditionalFormatting>
  <conditionalFormatting sqref="G4238:G4244">
    <cfRule type="expression" dxfId="688" priority="10216">
      <formula>$D4238&gt;1</formula>
    </cfRule>
    <cfRule type="expression" dxfId="687" priority="10217">
      <formula>$C4238="%IN"</formula>
    </cfRule>
    <cfRule type="expression" dxfId="686" priority="10218" stopIfTrue="1">
      <formula>$E4238=0</formula>
    </cfRule>
  </conditionalFormatting>
  <conditionalFormatting sqref="G4181:G4196">
    <cfRule type="expression" dxfId="685" priority="10222">
      <formula>$D4181&gt;1</formula>
    </cfRule>
    <cfRule type="expression" dxfId="684" priority="10223">
      <formula>$C4181="%IN"</formula>
    </cfRule>
    <cfRule type="expression" dxfId="683" priority="10224" stopIfTrue="1">
      <formula>$E4181=0</formula>
    </cfRule>
  </conditionalFormatting>
  <conditionalFormatting sqref="G4201:G4211">
    <cfRule type="expression" dxfId="682" priority="10225">
      <formula>$D4201&gt;1</formula>
    </cfRule>
    <cfRule type="expression" dxfId="681" priority="10226">
      <formula>$C4201="%IN"</formula>
    </cfRule>
    <cfRule type="expression" dxfId="680" priority="10227" stopIfTrue="1">
      <formula>$E4201=0</formula>
    </cfRule>
  </conditionalFormatting>
  <conditionalFormatting sqref="G4216:G4220">
    <cfRule type="expression" dxfId="679" priority="10228">
      <formula>$D4216&gt;1</formula>
    </cfRule>
    <cfRule type="expression" dxfId="678" priority="10229">
      <formula>$C4216="%IN"</formula>
    </cfRule>
    <cfRule type="expression" dxfId="677" priority="10230" stopIfTrue="1">
      <formula>$E4216=0</formula>
    </cfRule>
  </conditionalFormatting>
  <conditionalFormatting sqref="G4264:G4267">
    <cfRule type="expression" dxfId="676" priority="10231">
      <formula>$D4264&gt;1</formula>
    </cfRule>
    <cfRule type="expression" dxfId="675" priority="10232">
      <formula>$C4264="%IN"</formula>
    </cfRule>
    <cfRule type="expression" dxfId="674" priority="10233" stopIfTrue="1">
      <formula>$E4264=0</formula>
    </cfRule>
  </conditionalFormatting>
  <conditionalFormatting sqref="G4290:G4295">
    <cfRule type="expression" dxfId="673" priority="10237">
      <formula>$D4290&gt;1</formula>
    </cfRule>
    <cfRule type="expression" dxfId="672" priority="10238">
      <formula>$C4290="%IN"</formula>
    </cfRule>
    <cfRule type="expression" dxfId="671" priority="10239" stopIfTrue="1">
      <formula>$E4290=0</formula>
    </cfRule>
  </conditionalFormatting>
  <conditionalFormatting sqref="G4300:G4305">
    <cfRule type="expression" dxfId="670" priority="10240">
      <formula>$D4300&gt;1</formula>
    </cfRule>
    <cfRule type="expression" dxfId="669" priority="10241">
      <formula>$C4300="%IN"</formula>
    </cfRule>
    <cfRule type="expression" dxfId="668" priority="10242" stopIfTrue="1">
      <formula>$E4300=0</formula>
    </cfRule>
  </conditionalFormatting>
  <conditionalFormatting sqref="G4322:G4327">
    <cfRule type="expression" dxfId="667" priority="10243">
      <formula>$D4322&gt;1</formula>
    </cfRule>
    <cfRule type="expression" dxfId="666" priority="10244">
      <formula>$C4322="%IN"</formula>
    </cfRule>
    <cfRule type="expression" dxfId="665" priority="10245" stopIfTrue="1">
      <formula>$E4322=0</formula>
    </cfRule>
  </conditionalFormatting>
  <conditionalFormatting sqref="G4333:G4338">
    <cfRule type="expression" dxfId="664" priority="10246">
      <formula>$D4333&gt;1</formula>
    </cfRule>
    <cfRule type="expression" dxfId="663" priority="10247">
      <formula>$C4333="%IN"</formula>
    </cfRule>
    <cfRule type="expression" dxfId="662" priority="10248" stopIfTrue="1">
      <formula>$E4333=0</formula>
    </cfRule>
  </conditionalFormatting>
  <conditionalFormatting sqref="G4345:G4348">
    <cfRule type="expression" dxfId="661" priority="10249">
      <formula>$D4345&gt;1</formula>
    </cfRule>
    <cfRule type="expression" dxfId="660" priority="10250">
      <formula>$C4345="%IN"</formula>
    </cfRule>
    <cfRule type="expression" dxfId="659" priority="10251" stopIfTrue="1">
      <formula>$E4345=0</formula>
    </cfRule>
  </conditionalFormatting>
  <conditionalFormatting sqref="G4363:G4364">
    <cfRule type="expression" dxfId="658" priority="10255">
      <formula>$D4363&gt;1</formula>
    </cfRule>
    <cfRule type="expression" dxfId="657" priority="10256">
      <formula>$C4363="%IN"</formula>
    </cfRule>
    <cfRule type="expression" dxfId="656" priority="10257" stopIfTrue="1">
      <formula>$E4363=0</formula>
    </cfRule>
  </conditionalFormatting>
  <conditionalFormatting sqref="G4397:G4410">
    <cfRule type="expression" dxfId="655" priority="10258">
      <formula>$D4397&gt;1</formula>
    </cfRule>
    <cfRule type="expression" dxfId="654" priority="10259">
      <formula>$C4397="%IN"</formula>
    </cfRule>
    <cfRule type="expression" dxfId="653" priority="10260" stopIfTrue="1">
      <formula>$E4397=0</formula>
    </cfRule>
  </conditionalFormatting>
  <conditionalFormatting sqref="G4416:G4421">
    <cfRule type="expression" dxfId="652" priority="10261">
      <formula>$D4416&gt;1</formula>
    </cfRule>
    <cfRule type="expression" dxfId="651" priority="10262">
      <formula>$C4416="%IN"</formula>
    </cfRule>
    <cfRule type="expression" dxfId="650" priority="10263" stopIfTrue="1">
      <formula>$E4416=0</formula>
    </cfRule>
  </conditionalFormatting>
  <conditionalFormatting sqref="G4440:G4446">
    <cfRule type="expression" dxfId="649" priority="10264">
      <formula>$D4440&gt;1</formula>
    </cfRule>
    <cfRule type="expression" dxfId="648" priority="10265">
      <formula>$C4440="%IN"</formula>
    </cfRule>
    <cfRule type="expression" dxfId="647" priority="10266" stopIfTrue="1">
      <formula>$E4440=0</formula>
    </cfRule>
  </conditionalFormatting>
  <conditionalFormatting sqref="G4477:G4483">
    <cfRule type="expression" dxfId="646" priority="10267">
      <formula>$D4477&gt;1</formula>
    </cfRule>
    <cfRule type="expression" dxfId="645" priority="10268">
      <formula>$C4477="%IN"</formula>
    </cfRule>
    <cfRule type="expression" dxfId="644" priority="10269" stopIfTrue="1">
      <formula>$E4477=0</formula>
    </cfRule>
  </conditionalFormatting>
  <conditionalFormatting sqref="G4493:G4496">
    <cfRule type="expression" dxfId="643" priority="10270">
      <formula>$D4493&gt;1</formula>
    </cfRule>
    <cfRule type="expression" dxfId="642" priority="10271">
      <formula>$C4493="%IN"</formula>
    </cfRule>
    <cfRule type="expression" dxfId="641" priority="10272" stopIfTrue="1">
      <formula>$E4493=0</formula>
    </cfRule>
  </conditionalFormatting>
  <conditionalFormatting sqref="G4501:G4505">
    <cfRule type="expression" dxfId="640" priority="10273">
      <formula>$D4501&gt;1</formula>
    </cfRule>
    <cfRule type="expression" dxfId="639" priority="10274">
      <formula>$C4501="%IN"</formula>
    </cfRule>
    <cfRule type="expression" dxfId="638" priority="10275" stopIfTrue="1">
      <formula>$E4501=0</formula>
    </cfRule>
  </conditionalFormatting>
  <conditionalFormatting sqref="G4510:G4514">
    <cfRule type="expression" dxfId="637" priority="10276">
      <formula>$D4510&gt;1</formula>
    </cfRule>
    <cfRule type="expression" dxfId="636" priority="10277">
      <formula>$C4510="%IN"</formula>
    </cfRule>
    <cfRule type="expression" dxfId="635" priority="10278" stopIfTrue="1">
      <formula>$E4510=0</formula>
    </cfRule>
  </conditionalFormatting>
  <conditionalFormatting sqref="G4521:G4531">
    <cfRule type="expression" dxfId="634" priority="10279">
      <formula>$D4521&gt;1</formula>
    </cfRule>
    <cfRule type="expression" dxfId="633" priority="10280">
      <formula>$C4521="%IN"</formula>
    </cfRule>
    <cfRule type="expression" dxfId="632" priority="10281" stopIfTrue="1">
      <formula>$E4521=0</formula>
    </cfRule>
  </conditionalFormatting>
  <conditionalFormatting sqref="G4545:G4554">
    <cfRule type="expression" dxfId="631" priority="10282">
      <formula>$D4545&gt;1</formula>
    </cfRule>
    <cfRule type="expression" dxfId="630" priority="10283">
      <formula>$C4545="%IN"</formula>
    </cfRule>
    <cfRule type="expression" dxfId="629" priority="10284" stopIfTrue="1">
      <formula>$E4545=0</formula>
    </cfRule>
  </conditionalFormatting>
  <conditionalFormatting sqref="G4568:G4573">
    <cfRule type="expression" dxfId="628" priority="10285">
      <formula>$D4568&gt;1</formula>
    </cfRule>
    <cfRule type="expression" dxfId="627" priority="10286">
      <formula>$C4568="%IN"</formula>
    </cfRule>
    <cfRule type="expression" dxfId="626" priority="10287" stopIfTrue="1">
      <formula>$E4568=0</formula>
    </cfRule>
  </conditionalFormatting>
  <conditionalFormatting sqref="G4585:G4595">
    <cfRule type="expression" dxfId="625" priority="10288">
      <formula>$D4585&gt;1</formula>
    </cfRule>
    <cfRule type="expression" dxfId="624" priority="10289">
      <formula>$C4585="%IN"</formula>
    </cfRule>
    <cfRule type="expression" dxfId="623" priority="10290" stopIfTrue="1">
      <formula>$E4585=0</formula>
    </cfRule>
  </conditionalFormatting>
  <conditionalFormatting sqref="G4600:G4610">
    <cfRule type="expression" dxfId="622" priority="10291">
      <formula>$D4600&gt;1</formula>
    </cfRule>
    <cfRule type="expression" dxfId="621" priority="10292">
      <formula>$C4600="%IN"</formula>
    </cfRule>
    <cfRule type="expression" dxfId="620" priority="10293" stopIfTrue="1">
      <formula>$E4600=0</formula>
    </cfRule>
  </conditionalFormatting>
  <conditionalFormatting sqref="G4615:G4620">
    <cfRule type="expression" dxfId="619" priority="10294">
      <formula>$D4615&gt;1</formula>
    </cfRule>
    <cfRule type="expression" dxfId="618" priority="10295">
      <formula>$C4615="%IN"</formula>
    </cfRule>
    <cfRule type="expression" dxfId="617" priority="10296" stopIfTrue="1">
      <formula>$E4615=0</formula>
    </cfRule>
  </conditionalFormatting>
  <conditionalFormatting sqref="G4625:G4630">
    <cfRule type="expression" dxfId="616" priority="10297">
      <formula>$D4625&gt;1</formula>
    </cfRule>
    <cfRule type="expression" dxfId="615" priority="10298">
      <formula>$C4625="%IN"</formula>
    </cfRule>
    <cfRule type="expression" dxfId="614" priority="10299" stopIfTrue="1">
      <formula>$E4625=0</formula>
    </cfRule>
  </conditionalFormatting>
  <conditionalFormatting sqref="G4655:G4660">
    <cfRule type="expression" dxfId="613" priority="10303">
      <formula>$D4655&gt;1</formula>
    </cfRule>
    <cfRule type="expression" dxfId="612" priority="10304">
      <formula>$C4655="%IN"</formula>
    </cfRule>
    <cfRule type="expression" dxfId="611" priority="10305" stopIfTrue="1">
      <formula>$E4655=0</formula>
    </cfRule>
  </conditionalFormatting>
  <conditionalFormatting sqref="G4686:G4691">
    <cfRule type="expression" dxfId="610" priority="10306">
      <formula>$D4686&gt;1</formula>
    </cfRule>
    <cfRule type="expression" dxfId="609" priority="10307">
      <formula>$C4686="%IN"</formula>
    </cfRule>
    <cfRule type="expression" dxfId="608" priority="10308" stopIfTrue="1">
      <formula>$E4686=0</formula>
    </cfRule>
  </conditionalFormatting>
  <conditionalFormatting sqref="G4697:G4712">
    <cfRule type="expression" dxfId="607" priority="10309">
      <formula>$D4697&gt;1</formula>
    </cfRule>
    <cfRule type="expression" dxfId="606" priority="10310">
      <formula>$C4697="%IN"</formula>
    </cfRule>
    <cfRule type="expression" dxfId="605" priority="10311" stopIfTrue="1">
      <formula>$E4697=0</formula>
    </cfRule>
  </conditionalFormatting>
  <conditionalFormatting sqref="G4717:G4722">
    <cfRule type="expression" dxfId="604" priority="10312">
      <formula>$D4717&gt;1</formula>
    </cfRule>
    <cfRule type="expression" dxfId="603" priority="10313">
      <formula>$C4717="%IN"</formula>
    </cfRule>
    <cfRule type="expression" dxfId="602" priority="10314" stopIfTrue="1">
      <formula>$E4717=0</formula>
    </cfRule>
  </conditionalFormatting>
  <conditionalFormatting sqref="G4768:G4773">
    <cfRule type="expression" dxfId="601" priority="10315">
      <formula>$D4768&gt;1</formula>
    </cfRule>
    <cfRule type="expression" dxfId="600" priority="10316">
      <formula>$C4768="%IN"</formula>
    </cfRule>
    <cfRule type="expression" dxfId="599" priority="10317" stopIfTrue="1">
      <formula>$E4768=0</formula>
    </cfRule>
  </conditionalFormatting>
  <conditionalFormatting sqref="G4779:G4784 G4786:G4790">
    <cfRule type="expression" dxfId="598" priority="10318">
      <formula>$D4779&gt;1</formula>
    </cfRule>
    <cfRule type="expression" dxfId="597" priority="10319">
      <formula>$C4779="%IN"</formula>
    </cfRule>
    <cfRule type="expression" dxfId="596" priority="10320" stopIfTrue="1">
      <formula>$E4779=0</formula>
    </cfRule>
  </conditionalFormatting>
  <conditionalFormatting sqref="L4837:L4849">
    <cfRule type="expression" dxfId="595" priority="10321" stopIfTrue="1">
      <formula>OR($L$4837="F/S",$L$4837="")</formula>
    </cfRule>
    <cfRule type="cellIs" dxfId="594" priority="10322" stopIfTrue="1" operator="notEqual">
      <formula>0</formula>
    </cfRule>
  </conditionalFormatting>
  <conditionalFormatting sqref="O4837:O4849">
    <cfRule type="expression" dxfId="593" priority="10323" stopIfTrue="1">
      <formula>OR($O$4837="F/S",$O$4837="")</formula>
    </cfRule>
    <cfRule type="cellIs" dxfId="592" priority="10324" stopIfTrue="1" operator="notEqual">
      <formula>0</formula>
    </cfRule>
  </conditionalFormatting>
  <conditionalFormatting sqref="I4837">
    <cfRule type="expression" dxfId="591" priority="126" stopIfTrue="1">
      <formula>$I4837="适用"</formula>
    </cfRule>
    <cfRule type="expression" dxfId="590" priority="127" stopIfTrue="1">
      <formula>$I4837="不适用"</formula>
    </cfRule>
  </conditionalFormatting>
  <conditionalFormatting sqref="Q4837:Q4849">
    <cfRule type="expression" dxfId="589" priority="125" stopIfTrue="1">
      <formula>$Q4837="请输入"</formula>
    </cfRule>
  </conditionalFormatting>
  <conditionalFormatting sqref="G4840:G4848">
    <cfRule type="expression" dxfId="588" priority="10325">
      <formula>$D4840&gt;1</formula>
    </cfRule>
    <cfRule type="expression" dxfId="587" priority="10326">
      <formula>$C4840="%IN"</formula>
    </cfRule>
    <cfRule type="expression" dxfId="586" priority="10327" stopIfTrue="1">
      <formula>$E4840=0</formula>
    </cfRule>
  </conditionalFormatting>
  <conditionalFormatting sqref="G4853:G4861">
    <cfRule type="expression" dxfId="585" priority="10328">
      <formula>$D4853&gt;1</formula>
    </cfRule>
    <cfRule type="expression" dxfId="584" priority="10329">
      <formula>$C4853="%IN"</formula>
    </cfRule>
    <cfRule type="expression" dxfId="583" priority="10330" stopIfTrue="1">
      <formula>$E4853=0</formula>
    </cfRule>
  </conditionalFormatting>
  <conditionalFormatting sqref="G4452:G4454">
    <cfRule type="expression" dxfId="582" priority="10331">
      <formula>$D4452&gt;1</formula>
    </cfRule>
    <cfRule type="expression" dxfId="581" priority="10332">
      <formula>$C4452="%IN"</formula>
    </cfRule>
    <cfRule type="expression" dxfId="580" priority="10333" stopIfTrue="1">
      <formula>$E4452=0</formula>
    </cfRule>
  </conditionalFormatting>
  <conditionalFormatting sqref="G4931:G4936">
    <cfRule type="expression" dxfId="579" priority="10334">
      <formula>$D4931&gt;1</formula>
    </cfRule>
    <cfRule type="expression" dxfId="578" priority="10335">
      <formula>$C4931="%IN"</formula>
    </cfRule>
    <cfRule type="expression" dxfId="577" priority="10336" stopIfTrue="1">
      <formula>$E4931=0</formula>
    </cfRule>
  </conditionalFormatting>
  <conditionalFormatting sqref="G4949:G4956">
    <cfRule type="expression" dxfId="576" priority="10337">
      <formula>$D4949&gt;1</formula>
    </cfRule>
    <cfRule type="expression" dxfId="575" priority="10338">
      <formula>$C4949="%IN"</formula>
    </cfRule>
    <cfRule type="expression" dxfId="574" priority="10339" stopIfTrue="1">
      <formula>$E4949=0</formula>
    </cfRule>
  </conditionalFormatting>
  <conditionalFormatting sqref="G5003:G5008">
    <cfRule type="expression" dxfId="573" priority="10343">
      <formula>$D5003&gt;1</formula>
    </cfRule>
    <cfRule type="expression" dxfId="572" priority="10344">
      <formula>$C5003="%IN"</formula>
    </cfRule>
    <cfRule type="expression" dxfId="571" priority="10345" stopIfTrue="1">
      <formula>$E5003=0</formula>
    </cfRule>
  </conditionalFormatting>
  <conditionalFormatting sqref="G5013:G5018">
    <cfRule type="expression" dxfId="570" priority="10346">
      <formula>$D5013&gt;1</formula>
    </cfRule>
    <cfRule type="expression" dxfId="569" priority="10347">
      <formula>$C5013="%IN"</formula>
    </cfRule>
    <cfRule type="expression" dxfId="568" priority="10348" stopIfTrue="1">
      <formula>$E5013=0</formula>
    </cfRule>
  </conditionalFormatting>
  <conditionalFormatting sqref="G5025:G5035">
    <cfRule type="expression" dxfId="567" priority="10349">
      <formula>$D5025&gt;1</formula>
    </cfRule>
    <cfRule type="expression" dxfId="566" priority="10350">
      <formula>$C5025="%IN"</formula>
    </cfRule>
    <cfRule type="expression" dxfId="565" priority="10351" stopIfTrue="1">
      <formula>$E5025=0</formula>
    </cfRule>
  </conditionalFormatting>
  <conditionalFormatting sqref="G5041:G5051">
    <cfRule type="expression" dxfId="564" priority="10352">
      <formula>$D5041&gt;1</formula>
    </cfRule>
    <cfRule type="expression" dxfId="563" priority="10353">
      <formula>$C5041="%IN"</formula>
    </cfRule>
    <cfRule type="expression" dxfId="562" priority="10354" stopIfTrue="1">
      <formula>$E5041=0</formula>
    </cfRule>
  </conditionalFormatting>
  <conditionalFormatting sqref="G5057:G5062">
    <cfRule type="expression" dxfId="561" priority="10355">
      <formula>$D5057&gt;1</formula>
    </cfRule>
    <cfRule type="expression" dxfId="560" priority="10356">
      <formula>$C5057="%IN"</formula>
    </cfRule>
    <cfRule type="expression" dxfId="559" priority="10357" stopIfTrue="1">
      <formula>$E5057=0</formula>
    </cfRule>
  </conditionalFormatting>
  <conditionalFormatting sqref="G5068:G5073">
    <cfRule type="expression" dxfId="558" priority="10358">
      <formula>$D5068&gt;1</formula>
    </cfRule>
    <cfRule type="expression" dxfId="557" priority="10359">
      <formula>$C5068="%IN"</formula>
    </cfRule>
    <cfRule type="expression" dxfId="556" priority="10360" stopIfTrue="1">
      <formula>$E5068=0</formula>
    </cfRule>
  </conditionalFormatting>
  <conditionalFormatting sqref="G5079:G5084">
    <cfRule type="expression" dxfId="555" priority="10361">
      <formula>$D5079&gt;1</formula>
    </cfRule>
    <cfRule type="expression" dxfId="554" priority="10362">
      <formula>$C5079="%IN"</formula>
    </cfRule>
    <cfRule type="expression" dxfId="553" priority="10363" stopIfTrue="1">
      <formula>$E5079=0</formula>
    </cfRule>
  </conditionalFormatting>
  <conditionalFormatting sqref="G5090:G5095">
    <cfRule type="expression" dxfId="552" priority="10364">
      <formula>$D5090&gt;1</formula>
    </cfRule>
    <cfRule type="expression" dxfId="551" priority="10365">
      <formula>$C5090="%IN"</formula>
    </cfRule>
    <cfRule type="expression" dxfId="550" priority="10366" stopIfTrue="1">
      <formula>$E5090=0</formula>
    </cfRule>
  </conditionalFormatting>
  <conditionalFormatting sqref="G5177:G5182">
    <cfRule type="expression" dxfId="549" priority="10367">
      <formula>$D5177&gt;1</formula>
    </cfRule>
    <cfRule type="expression" dxfId="548" priority="10368">
      <formula>$C5177="%IN"</formula>
    </cfRule>
    <cfRule type="expression" dxfId="547" priority="10369" stopIfTrue="1">
      <formula>$E5177=0</formula>
    </cfRule>
  </conditionalFormatting>
  <conditionalFormatting sqref="G5199:G5207">
    <cfRule type="expression" dxfId="546" priority="10376">
      <formula>$D5199&gt;1</formula>
    </cfRule>
    <cfRule type="expression" dxfId="545" priority="10377">
      <formula>$C5199="%IN"</formula>
    </cfRule>
    <cfRule type="expression" dxfId="544" priority="10378" stopIfTrue="1">
      <formula>$E5199=0</formula>
    </cfRule>
  </conditionalFormatting>
  <conditionalFormatting sqref="G5553:G5557">
    <cfRule type="expression" dxfId="543" priority="10382">
      <formula>$D5553&gt;1</formula>
    </cfRule>
    <cfRule type="expression" dxfId="542" priority="10383">
      <formula>$C5553="%IN"</formula>
    </cfRule>
    <cfRule type="expression" dxfId="541" priority="10384" stopIfTrue="1">
      <formula>$E5553=0</formula>
    </cfRule>
  </conditionalFormatting>
  <conditionalFormatting sqref="G5626:G5634">
    <cfRule type="expression" dxfId="540" priority="10385">
      <formula>$D5626&gt;1</formula>
    </cfRule>
    <cfRule type="expression" dxfId="539" priority="10386">
      <formula>$C5626="%IN"</formula>
    </cfRule>
    <cfRule type="expression" dxfId="538" priority="10387" stopIfTrue="1">
      <formula>$E5626=0</formula>
    </cfRule>
  </conditionalFormatting>
  <conditionalFormatting sqref="G5639:G5647">
    <cfRule type="expression" dxfId="537" priority="10388">
      <formula>$D5639&gt;1</formula>
    </cfRule>
    <cfRule type="expression" dxfId="536" priority="10389">
      <formula>$C5639="%IN"</formula>
    </cfRule>
    <cfRule type="expression" dxfId="535" priority="10390" stopIfTrue="1">
      <formula>$E5639=0</formula>
    </cfRule>
  </conditionalFormatting>
  <conditionalFormatting sqref="G5652:G5657">
    <cfRule type="expression" dxfId="534" priority="10391">
      <formula>$D5652&gt;1</formula>
    </cfRule>
    <cfRule type="expression" dxfId="533" priority="10392">
      <formula>$C5652="%IN"</formula>
    </cfRule>
    <cfRule type="expression" dxfId="532" priority="10393" stopIfTrue="1">
      <formula>$E5652=0</formula>
    </cfRule>
  </conditionalFormatting>
  <conditionalFormatting sqref="G5662:G5667">
    <cfRule type="expression" dxfId="531" priority="10394">
      <formula>$D5662&gt;1</formula>
    </cfRule>
    <cfRule type="expression" dxfId="530" priority="10395">
      <formula>$C5662="%IN"</formula>
    </cfRule>
    <cfRule type="expression" dxfId="529" priority="10396" stopIfTrue="1">
      <formula>$E5662=0</formula>
    </cfRule>
  </conditionalFormatting>
  <conditionalFormatting sqref="G5672:G5677">
    <cfRule type="expression" dxfId="528" priority="10397">
      <formula>$D5672&gt;1</formula>
    </cfRule>
    <cfRule type="expression" dxfId="527" priority="10398">
      <formula>$C5672="%IN"</formula>
    </cfRule>
    <cfRule type="expression" dxfId="526" priority="10399" stopIfTrue="1">
      <formula>$E5672=0</formula>
    </cfRule>
  </conditionalFormatting>
  <conditionalFormatting sqref="G5682:G5687">
    <cfRule type="expression" dxfId="525" priority="10400">
      <formula>$D5682&gt;1</formula>
    </cfRule>
    <cfRule type="expression" dxfId="524" priority="10401">
      <formula>$C5682="%IN"</formula>
    </cfRule>
    <cfRule type="expression" dxfId="523" priority="10402" stopIfTrue="1">
      <formula>$E5682=0</formula>
    </cfRule>
  </conditionalFormatting>
  <conditionalFormatting sqref="G5702:G5707">
    <cfRule type="expression" dxfId="522" priority="10403">
      <formula>$D5702&gt;1</formula>
    </cfRule>
    <cfRule type="expression" dxfId="521" priority="10404">
      <formula>$C5702="%IN"</formula>
    </cfRule>
    <cfRule type="expression" dxfId="520" priority="10405" stopIfTrue="1">
      <formula>$E5702=0</formula>
    </cfRule>
  </conditionalFormatting>
  <conditionalFormatting sqref="G5722:G5727">
    <cfRule type="expression" dxfId="519" priority="10406">
      <formula>$D5722&gt;1</formula>
    </cfRule>
    <cfRule type="expression" dxfId="518" priority="10407">
      <formula>$C5722="%IN"</formula>
    </cfRule>
    <cfRule type="expression" dxfId="517" priority="10408" stopIfTrue="1">
      <formula>$E5722=0</formula>
    </cfRule>
  </conditionalFormatting>
  <conditionalFormatting sqref="G5752:G5760">
    <cfRule type="expression" dxfId="516" priority="10409">
      <formula>$D5752&gt;1</formula>
    </cfRule>
    <cfRule type="expression" dxfId="515" priority="10410">
      <formula>$C5752="%IN"</formula>
    </cfRule>
    <cfRule type="expression" dxfId="514" priority="10411" stopIfTrue="1">
      <formula>$E5752=0</formula>
    </cfRule>
  </conditionalFormatting>
  <conditionalFormatting sqref="G5765:G5773">
    <cfRule type="expression" dxfId="513" priority="10412">
      <formula>$D5765&gt;1</formula>
    </cfRule>
    <cfRule type="expression" dxfId="512" priority="10413">
      <formula>$C5765="%IN"</formula>
    </cfRule>
    <cfRule type="expression" dxfId="511" priority="10414" stopIfTrue="1">
      <formula>$E5765=0</formula>
    </cfRule>
  </conditionalFormatting>
  <conditionalFormatting sqref="I5797">
    <cfRule type="expression" dxfId="510" priority="113" stopIfTrue="1">
      <formula>$I5797="适用"</formula>
    </cfRule>
    <cfRule type="expression" dxfId="509" priority="114" stopIfTrue="1">
      <formula>$I5797="不适用"</formula>
    </cfRule>
  </conditionalFormatting>
  <conditionalFormatting sqref="G5800:G5803">
    <cfRule type="expression" dxfId="508" priority="10415">
      <formula>$D5800&gt;1</formula>
    </cfRule>
    <cfRule type="expression" dxfId="507" priority="10416">
      <formula>$C5800="%IN"</formula>
    </cfRule>
    <cfRule type="expression" dxfId="506" priority="10417" stopIfTrue="1">
      <formula>$E5800=0</formula>
    </cfRule>
  </conditionalFormatting>
  <conditionalFormatting sqref="G5851:G5856">
    <cfRule type="expression" dxfId="505" priority="10418">
      <formula>$D5851&gt;1</formula>
    </cfRule>
    <cfRule type="expression" dxfId="504" priority="10419">
      <formula>$C5851="%IN"</formula>
    </cfRule>
    <cfRule type="expression" dxfId="503" priority="10420" stopIfTrue="1">
      <formula>$E5851=0</formula>
    </cfRule>
  </conditionalFormatting>
  <conditionalFormatting sqref="G5861:G5866">
    <cfRule type="expression" dxfId="502" priority="10421">
      <formula>$D5861&gt;1</formula>
    </cfRule>
    <cfRule type="expression" dxfId="501" priority="10422">
      <formula>$C5861="%IN"</formula>
    </cfRule>
    <cfRule type="expression" dxfId="500" priority="10423" stopIfTrue="1">
      <formula>$E5861=0</formula>
    </cfRule>
  </conditionalFormatting>
  <conditionalFormatting sqref="G1508">
    <cfRule type="expression" dxfId="499" priority="106">
      <formula>$D1508&gt;1</formula>
    </cfRule>
    <cfRule type="expression" dxfId="498" priority="107">
      <formula>$C1508="%IN"</formula>
    </cfRule>
    <cfRule type="expression" dxfId="497" priority="108" stopIfTrue="1">
      <formula>$E1508=0</formula>
    </cfRule>
  </conditionalFormatting>
  <conditionalFormatting sqref="G4272:G4277">
    <cfRule type="expression" dxfId="496" priority="10424">
      <formula>$D4272&gt;1</formula>
    </cfRule>
    <cfRule type="expression" dxfId="495" priority="10425">
      <formula>$C4272="%IN"</formula>
    </cfRule>
    <cfRule type="expression" dxfId="494" priority="10426" stopIfTrue="1">
      <formula>$E4272=0</formula>
    </cfRule>
  </conditionalFormatting>
  <conditionalFormatting sqref="G6168:G6184">
    <cfRule type="expression" dxfId="493" priority="10427">
      <formula>$D6168&gt;1</formula>
    </cfRule>
    <cfRule type="expression" dxfId="492" priority="10428">
      <formula>$C6168="%IN"</formula>
    </cfRule>
    <cfRule type="expression" dxfId="491" priority="10429" stopIfTrue="1">
      <formula>$E6168=0</formula>
    </cfRule>
  </conditionalFormatting>
  <conditionalFormatting sqref="G141:G144">
    <cfRule type="expression" dxfId="490" priority="10430">
      <formula>$D141&gt;1</formula>
    </cfRule>
    <cfRule type="expression" dxfId="489" priority="10431">
      <formula>$C141="%IN"</formula>
    </cfRule>
    <cfRule type="expression" dxfId="488" priority="10432" stopIfTrue="1">
      <formula>$E141=0</formula>
    </cfRule>
  </conditionalFormatting>
  <conditionalFormatting sqref="G604:G609">
    <cfRule type="expression" dxfId="487" priority="10433">
      <formula>$D604&gt;1</formula>
    </cfRule>
    <cfRule type="expression" dxfId="486" priority="10434">
      <formula>$C604="%IN"</formula>
    </cfRule>
    <cfRule type="expression" dxfId="485" priority="10435" stopIfTrue="1">
      <formula>$E604=0</formula>
    </cfRule>
  </conditionalFormatting>
  <conditionalFormatting sqref="G614:G616">
    <cfRule type="expression" dxfId="484" priority="10436">
      <formula>$D614&gt;1</formula>
    </cfRule>
    <cfRule type="expression" dxfId="483" priority="10437">
      <formula>$C614="%IN"</formula>
    </cfRule>
    <cfRule type="expression" dxfId="482" priority="10438" stopIfTrue="1">
      <formula>$E614=0</formula>
    </cfRule>
  </conditionalFormatting>
  <conditionalFormatting sqref="G621:G626">
    <cfRule type="expression" dxfId="481" priority="10439">
      <formula>$D621&gt;1</formula>
    </cfRule>
    <cfRule type="expression" dxfId="480" priority="10440">
      <formula>$C621="%IN"</formula>
    </cfRule>
    <cfRule type="expression" dxfId="479" priority="10441" stopIfTrue="1">
      <formula>$E621=0</formula>
    </cfRule>
  </conditionalFormatting>
  <conditionalFormatting sqref="G651:G656">
    <cfRule type="expression" dxfId="478" priority="10442">
      <formula>$D651&gt;1</formula>
    </cfRule>
    <cfRule type="expression" dxfId="477" priority="10443">
      <formula>$C651="%IN"</formula>
    </cfRule>
    <cfRule type="expression" dxfId="476" priority="10444" stopIfTrue="1">
      <formula>$E651=0</formula>
    </cfRule>
  </conditionalFormatting>
  <conditionalFormatting sqref="G661:G666">
    <cfRule type="expression" dxfId="475" priority="10445">
      <formula>$D661&gt;1</formula>
    </cfRule>
    <cfRule type="expression" dxfId="474" priority="10446">
      <formula>$C661="%IN"</formula>
    </cfRule>
    <cfRule type="expression" dxfId="473" priority="10447" stopIfTrue="1">
      <formula>$E661=0</formula>
    </cfRule>
  </conditionalFormatting>
  <conditionalFormatting sqref="G1016:G1025">
    <cfRule type="expression" dxfId="472" priority="10448">
      <formula>$D1016&gt;1</formula>
    </cfRule>
    <cfRule type="expression" dxfId="471" priority="10449">
      <formula>$C1016="%IN"</formula>
    </cfRule>
    <cfRule type="expression" dxfId="470" priority="10450" stopIfTrue="1">
      <formula>$E1016=0</formula>
    </cfRule>
  </conditionalFormatting>
  <conditionalFormatting sqref="G1513:G1518">
    <cfRule type="expression" dxfId="469" priority="10451">
      <formula>$D1513&gt;1</formula>
    </cfRule>
    <cfRule type="expression" dxfId="468" priority="10452">
      <formula>$C1513="%IN"</formula>
    </cfRule>
    <cfRule type="expression" dxfId="467" priority="10453" stopIfTrue="1">
      <formula>$E1513=0</formula>
    </cfRule>
  </conditionalFormatting>
  <conditionalFormatting sqref="G1523:G1525">
    <cfRule type="expression" dxfId="466" priority="10454">
      <formula>$D1523&gt;1</formula>
    </cfRule>
    <cfRule type="expression" dxfId="465" priority="10455">
      <formula>$C1523="%IN"</formula>
    </cfRule>
    <cfRule type="expression" dxfId="464" priority="10456" stopIfTrue="1">
      <formula>$E1523=0</formula>
    </cfRule>
  </conditionalFormatting>
  <conditionalFormatting sqref="G1530:G1535">
    <cfRule type="expression" dxfId="463" priority="10457">
      <formula>$D1530&gt;1</formula>
    </cfRule>
    <cfRule type="expression" dxfId="462" priority="10458">
      <formula>$C1530="%IN"</formula>
    </cfRule>
    <cfRule type="expression" dxfId="461" priority="10459" stopIfTrue="1">
      <formula>$E1530=0</formula>
    </cfRule>
  </conditionalFormatting>
  <conditionalFormatting sqref="G1560:G1565">
    <cfRule type="expression" dxfId="460" priority="10460">
      <formula>$D1560&gt;1</formula>
    </cfRule>
    <cfRule type="expression" dxfId="459" priority="10461">
      <formula>$C1560="%IN"</formula>
    </cfRule>
    <cfRule type="expression" dxfId="458" priority="10462" stopIfTrue="1">
      <formula>$E1560=0</formula>
    </cfRule>
  </conditionalFormatting>
  <conditionalFormatting sqref="G1570:G1575">
    <cfRule type="expression" dxfId="457" priority="10463">
      <formula>$D1570&gt;1</formula>
    </cfRule>
    <cfRule type="expression" dxfId="456" priority="10464">
      <formula>$C1570="%IN"</formula>
    </cfRule>
    <cfRule type="expression" dxfId="455" priority="10465" stopIfTrue="1">
      <formula>$E1570=0</formula>
    </cfRule>
  </conditionalFormatting>
  <conditionalFormatting sqref="G1580:G1585">
    <cfRule type="expression" dxfId="454" priority="10466">
      <formula>$D1580&gt;1</formula>
    </cfRule>
    <cfRule type="expression" dxfId="453" priority="10467">
      <formula>$C1580="%IN"</formula>
    </cfRule>
    <cfRule type="expression" dxfId="452" priority="10468" stopIfTrue="1">
      <formula>$E1580=0</formula>
    </cfRule>
  </conditionalFormatting>
  <conditionalFormatting sqref="L236:L250">
    <cfRule type="expression" dxfId="451" priority="10469" stopIfTrue="1">
      <formula>OR($L$236="F/S",$L$236="")</formula>
    </cfRule>
    <cfRule type="cellIs" dxfId="450" priority="10470" stopIfTrue="1" operator="notEqual">
      <formula>0</formula>
    </cfRule>
  </conditionalFormatting>
  <conditionalFormatting sqref="O236:O250">
    <cfRule type="expression" dxfId="449" priority="10471" stopIfTrue="1">
      <formula>OR($O$236="F/S",$O$236="")</formula>
    </cfRule>
    <cfRule type="cellIs" dxfId="448" priority="10472" stopIfTrue="1" operator="notEqual">
      <formula>0</formula>
    </cfRule>
  </conditionalFormatting>
  <conditionalFormatting sqref="I236">
    <cfRule type="expression" dxfId="447" priority="104" stopIfTrue="1">
      <formula>$I236="适用"</formula>
    </cfRule>
    <cfRule type="expression" dxfId="446" priority="105" stopIfTrue="1">
      <formula>$I236="不适用"</formula>
    </cfRule>
  </conditionalFormatting>
  <conditionalFormatting sqref="Q236:Q250">
    <cfRule type="expression" dxfId="445" priority="103" stopIfTrue="1">
      <formula>$Q236="请输入"</formula>
    </cfRule>
  </conditionalFormatting>
  <conditionalFormatting sqref="G241:G249">
    <cfRule type="expression" dxfId="444" priority="10473">
      <formula>$D241&gt;1</formula>
    </cfRule>
    <cfRule type="expression" dxfId="443" priority="10474">
      <formula>$C241="%IN"</formula>
    </cfRule>
    <cfRule type="expression" dxfId="442" priority="10475" stopIfTrue="1">
      <formula>$E241=0</formula>
    </cfRule>
  </conditionalFormatting>
  <conditionalFormatting sqref="G3412:G3418">
    <cfRule type="expression" dxfId="441" priority="10476">
      <formula>$D3412&gt;1</formula>
    </cfRule>
    <cfRule type="expression" dxfId="440" priority="10477">
      <formula>$C3412="%IN"</formula>
    </cfRule>
    <cfRule type="expression" dxfId="439" priority="10478" stopIfTrue="1">
      <formula>$E3412=0</formula>
    </cfRule>
  </conditionalFormatting>
  <conditionalFormatting sqref="G1433:G1440">
    <cfRule type="expression" dxfId="438" priority="10479">
      <formula>$D1433&gt;1</formula>
    </cfRule>
    <cfRule type="expression" dxfId="437" priority="10480">
      <formula>$C1433="%IN"</formula>
    </cfRule>
    <cfRule type="expression" dxfId="436" priority="10481" stopIfTrue="1">
      <formula>$E1433=0</formula>
    </cfRule>
  </conditionalFormatting>
  <conditionalFormatting sqref="G1658:G1663">
    <cfRule type="expression" dxfId="435" priority="10482">
      <formula>$D1658&gt;1</formula>
    </cfRule>
    <cfRule type="expression" dxfId="434" priority="10483">
      <formula>$C1658="%IN"</formula>
    </cfRule>
    <cfRule type="expression" dxfId="433" priority="10484" stopIfTrue="1">
      <formula>$E1658=0</formula>
    </cfRule>
  </conditionalFormatting>
  <conditionalFormatting sqref="G1668:G1673">
    <cfRule type="expression" dxfId="432" priority="10485">
      <formula>$D1668&gt;1</formula>
    </cfRule>
    <cfRule type="expression" dxfId="431" priority="10486">
      <formula>$C1668="%IN"</formula>
    </cfRule>
    <cfRule type="expression" dxfId="430" priority="10487" stopIfTrue="1">
      <formula>$E1668=0</formula>
    </cfRule>
  </conditionalFormatting>
  <conditionalFormatting sqref="G3660:G3672">
    <cfRule type="expression" dxfId="429" priority="10488">
      <formula>$D3660&gt;1</formula>
    </cfRule>
    <cfRule type="expression" dxfId="428" priority="10489">
      <formula>$C3660="%IN"</formula>
    </cfRule>
    <cfRule type="expression" dxfId="427" priority="10490" stopIfTrue="1">
      <formula>$E3660=0</formula>
    </cfRule>
  </conditionalFormatting>
  <conditionalFormatting sqref="Q4297">
    <cfRule type="expression" dxfId="426" priority="98" stopIfTrue="1">
      <formula>$Q4297="请输入"</formula>
    </cfRule>
  </conditionalFormatting>
  <conditionalFormatting sqref="I4297">
    <cfRule type="expression" dxfId="425" priority="96" stopIfTrue="1">
      <formula>$I4297="适用"</formula>
    </cfRule>
    <cfRule type="expression" dxfId="424" priority="97" stopIfTrue="1">
      <formula>$I4297="不适用"</formula>
    </cfRule>
  </conditionalFormatting>
  <conditionalFormatting sqref="G4728:G4734">
    <cfRule type="expression" dxfId="423" priority="10491">
      <formula>$D4728&gt;1</formula>
    </cfRule>
    <cfRule type="expression" dxfId="422" priority="10492">
      <formula>$C4728="%IN"</formula>
    </cfRule>
    <cfRule type="expression" dxfId="421" priority="10493" stopIfTrue="1">
      <formula>$E4728=0</formula>
    </cfRule>
  </conditionalFormatting>
  <conditionalFormatting sqref="G4970:G4983">
    <cfRule type="expression" dxfId="420" priority="10494">
      <formula>$D4970&gt;1</formula>
    </cfRule>
    <cfRule type="expression" dxfId="419" priority="10495">
      <formula>$C4970="%IN"</formula>
    </cfRule>
    <cfRule type="expression" dxfId="418" priority="10496" stopIfTrue="1">
      <formula>$E4970=0</formula>
    </cfRule>
  </conditionalFormatting>
  <conditionalFormatting sqref="G5188:G5193">
    <cfRule type="expression" dxfId="417" priority="10497">
      <formula>$D5188&gt;1</formula>
    </cfRule>
    <cfRule type="expression" dxfId="416" priority="10498">
      <formula>$C5188="%IN"</formula>
    </cfRule>
    <cfRule type="expression" dxfId="415" priority="10499" stopIfTrue="1">
      <formula>$E5188=0</formula>
    </cfRule>
  </conditionalFormatting>
  <conditionalFormatting sqref="I5502">
    <cfRule type="expression" dxfId="414" priority="90" stopIfTrue="1">
      <formula>$I5502="适用"</formula>
    </cfRule>
    <cfRule type="expression" dxfId="413" priority="91" stopIfTrue="1">
      <formula>$I5502="不适用"</formula>
    </cfRule>
  </conditionalFormatting>
  <conditionalFormatting sqref="G5461:G5500">
    <cfRule type="expression" dxfId="412" priority="10503">
      <formula>$D5461&gt;1</formula>
    </cfRule>
    <cfRule type="expression" dxfId="411" priority="10504">
      <formula>$C5461="%IN"</formula>
    </cfRule>
    <cfRule type="expression" dxfId="410" priority="10505" stopIfTrue="1">
      <formula>$E5461=0</formula>
    </cfRule>
  </conditionalFormatting>
  <conditionalFormatting sqref="G5507:G5548">
    <cfRule type="expression" dxfId="409" priority="10506">
      <formula>$D5507&gt;1</formula>
    </cfRule>
    <cfRule type="expression" dxfId="408" priority="10507">
      <formula>$C5507="%IN"</formula>
    </cfRule>
    <cfRule type="expression" dxfId="407" priority="10508" stopIfTrue="1">
      <formula>$E5507=0</formula>
    </cfRule>
  </conditionalFormatting>
  <conditionalFormatting sqref="L4736:L4748">
    <cfRule type="expression" dxfId="406" priority="10509" stopIfTrue="1">
      <formula>OR($L$4736="F/S",$L$4736="")</formula>
    </cfRule>
    <cfRule type="cellIs" dxfId="405" priority="10510" stopIfTrue="1" operator="notEqual">
      <formula>0</formula>
    </cfRule>
  </conditionalFormatting>
  <conditionalFormatting sqref="O4736:O4748">
    <cfRule type="expression" dxfId="404" priority="10511" stopIfTrue="1">
      <formula>OR($O$4736="F/S",$O$4736="")</formula>
    </cfRule>
    <cfRule type="cellIs" dxfId="403" priority="10512" stopIfTrue="1" operator="notEqual">
      <formula>0</formula>
    </cfRule>
  </conditionalFormatting>
  <conditionalFormatting sqref="I4736">
    <cfRule type="expression" dxfId="402" priority="83" stopIfTrue="1">
      <formula>$I4736="适用"</formula>
    </cfRule>
    <cfRule type="expression" dxfId="401" priority="84" stopIfTrue="1">
      <formula>$I4736="不适用"</formula>
    </cfRule>
  </conditionalFormatting>
  <conditionalFormatting sqref="Q4736:Q4748">
    <cfRule type="expression" dxfId="400" priority="82" stopIfTrue="1">
      <formula>$Q4736="请输入"</formula>
    </cfRule>
  </conditionalFormatting>
  <conditionalFormatting sqref="G4739:G4747">
    <cfRule type="expression" dxfId="399" priority="10513">
      <formula>$D4739&gt;1</formula>
    </cfRule>
    <cfRule type="expression" dxfId="398" priority="10514">
      <formula>$C4739="%IN"</formula>
    </cfRule>
    <cfRule type="expression" dxfId="397" priority="10515" stopIfTrue="1">
      <formula>$E4739=0</formula>
    </cfRule>
  </conditionalFormatting>
  <conditionalFormatting sqref="G2835:G2845">
    <cfRule type="expression" dxfId="396" priority="10516">
      <formula>$D2835&gt;1</formula>
    </cfRule>
    <cfRule type="expression" dxfId="395" priority="10517">
      <formula>$C2835="%IN"</formula>
    </cfRule>
    <cfRule type="expression" dxfId="394" priority="10518" stopIfTrue="1">
      <formula>$E2835=0</formula>
    </cfRule>
  </conditionalFormatting>
  <conditionalFormatting sqref="H352">
    <cfRule type="expression" dxfId="393" priority="10519">
      <formula>AND(H$352&lt;&gt;0,H$352&lt;&gt;"")</formula>
    </cfRule>
    <cfRule type="expression" dxfId="392" priority="10520" stopIfTrue="1">
      <formula>H$353&lt;&gt;"√"</formula>
    </cfRule>
  </conditionalFormatting>
  <conditionalFormatting sqref="J352">
    <cfRule type="expression" dxfId="391" priority="10521">
      <formula>AND(J$352&lt;&gt;0,J$352&lt;&gt;"")</formula>
    </cfRule>
    <cfRule type="expression" dxfId="390" priority="10522" stopIfTrue="1">
      <formula>J$353&lt;&gt;"√"</formula>
    </cfRule>
  </conditionalFormatting>
  <conditionalFormatting sqref="L352">
    <cfRule type="expression" dxfId="389" priority="10523">
      <formula>AND(L$352&lt;&gt;0,L$352&lt;&gt;"")</formula>
    </cfRule>
    <cfRule type="expression" dxfId="388" priority="10524" stopIfTrue="1">
      <formula>L$353&lt;&gt;"√"</formula>
    </cfRule>
  </conditionalFormatting>
  <conditionalFormatting sqref="K354">
    <cfRule type="expression" dxfId="387" priority="10525">
      <formula>AND($K$354&lt;&gt;0,$K$354&lt;&gt;"")</formula>
    </cfRule>
    <cfRule type="expression" dxfId="386" priority="10526" stopIfTrue="1">
      <formula>$L$354&lt;&gt;"√"</formula>
    </cfRule>
  </conditionalFormatting>
  <conditionalFormatting sqref="H374">
    <cfRule type="expression" dxfId="385" priority="10527">
      <formula>AND(H$374&lt;&gt;0,H$374&lt;&gt;"")</formula>
    </cfRule>
    <cfRule type="expression" dxfId="384" priority="10528" stopIfTrue="1">
      <formula>H$375&lt;&gt;"√"</formula>
    </cfRule>
  </conditionalFormatting>
  <conditionalFormatting sqref="I374">
    <cfRule type="expression" dxfId="383" priority="10529">
      <formula>AND(I$374&lt;&gt;0,I$374&lt;&gt;"")</formula>
    </cfRule>
    <cfRule type="expression" dxfId="382" priority="10530" stopIfTrue="1">
      <formula>I$375&lt;&gt;"√"</formula>
    </cfRule>
  </conditionalFormatting>
  <conditionalFormatting sqref="K376">
    <cfRule type="expression" dxfId="381" priority="10531">
      <formula>AND($K$376&lt;&gt;0,$K$376&lt;&gt;"")</formula>
    </cfRule>
    <cfRule type="expression" dxfId="380" priority="10532" stopIfTrue="1">
      <formula>$L$376&lt;&gt;"√"</formula>
    </cfRule>
  </conditionalFormatting>
  <conditionalFormatting sqref="H396">
    <cfRule type="expression" dxfId="379" priority="10533">
      <formula>AND(H$396&lt;&gt;0,H$396&lt;&gt;"")</formula>
    </cfRule>
    <cfRule type="expression" dxfId="378" priority="10534" stopIfTrue="1">
      <formula>H$397&lt;&gt;"√"</formula>
    </cfRule>
  </conditionalFormatting>
  <conditionalFormatting sqref="I396">
    <cfRule type="expression" dxfId="377" priority="10535">
      <formula>AND(I$396&lt;&gt;0,I$396&lt;&gt;"")</formula>
    </cfRule>
    <cfRule type="expression" dxfId="376" priority="10536" stopIfTrue="1">
      <formula>I$397&lt;&gt;"√"</formula>
    </cfRule>
  </conditionalFormatting>
  <conditionalFormatting sqref="K398">
    <cfRule type="expression" dxfId="375" priority="10537">
      <formula>AND($K$398&lt;&gt;0,$K$398&lt;&gt;"")</formula>
    </cfRule>
    <cfRule type="expression" dxfId="374" priority="10538" stopIfTrue="1">
      <formula>$L$398&lt;&gt;"√"</formula>
    </cfRule>
  </conditionalFormatting>
  <conditionalFormatting sqref="H444">
    <cfRule type="expression" dxfId="373" priority="10539">
      <formula>AND(H$444&lt;&gt;0,H$444&lt;&gt;"")</formula>
    </cfRule>
    <cfRule type="expression" dxfId="372" priority="10540" stopIfTrue="1">
      <formula>H$445&lt;&gt;"√"</formula>
    </cfRule>
  </conditionalFormatting>
  <conditionalFormatting sqref="J444">
    <cfRule type="expression" dxfId="371" priority="10541">
      <formula>AND(J$444&lt;&gt;0,J$444&lt;&gt;"")</formula>
    </cfRule>
    <cfRule type="expression" dxfId="370" priority="10542" stopIfTrue="1">
      <formula>J$445&lt;&gt;"√"</formula>
    </cfRule>
  </conditionalFormatting>
  <conditionalFormatting sqref="L444">
    <cfRule type="expression" dxfId="369" priority="10543">
      <formula>AND(L$444&lt;&gt;0,L$444&lt;&gt;"")</formula>
    </cfRule>
    <cfRule type="expression" dxfId="368" priority="10544" stopIfTrue="1">
      <formula>L$445&lt;&gt;"√"</formula>
    </cfRule>
  </conditionalFormatting>
  <conditionalFormatting sqref="K446">
    <cfRule type="expression" dxfId="367" priority="10545">
      <formula>AND($K$446&lt;&gt;0,$K$446&lt;&gt;"")</formula>
    </cfRule>
    <cfRule type="expression" dxfId="366" priority="10546" stopIfTrue="1">
      <formula>$L$446&lt;&gt;"√"</formula>
    </cfRule>
  </conditionalFormatting>
  <conditionalFormatting sqref="H597">
    <cfRule type="expression" dxfId="365" priority="10547">
      <formula>AND(H$597&lt;&gt;0,H$597&lt;&gt;"")</formula>
    </cfRule>
    <cfRule type="expression" dxfId="364" priority="10548" stopIfTrue="1">
      <formula>H$598&lt;&gt;"√"</formula>
    </cfRule>
  </conditionalFormatting>
  <conditionalFormatting sqref="N597">
    <cfRule type="expression" dxfId="363" priority="10549">
      <formula>AND(N$597&lt;&gt;0,N$597&lt;&gt;"")</formula>
    </cfRule>
    <cfRule type="expression" dxfId="362" priority="10550" stopIfTrue="1">
      <formula>N$598&lt;&gt;"√"</formula>
    </cfRule>
  </conditionalFormatting>
  <conditionalFormatting sqref="K599">
    <cfRule type="expression" dxfId="361" priority="10551">
      <formula>AND($K$599&lt;&gt;0,$K$599&lt;&gt;"")</formula>
    </cfRule>
    <cfRule type="expression" dxfId="360" priority="10552" stopIfTrue="1">
      <formula>$L$599&lt;&gt;"√"</formula>
    </cfRule>
  </conditionalFormatting>
  <conditionalFormatting sqref="H464">
    <cfRule type="expression" dxfId="359" priority="10553">
      <formula>AND(H$464&lt;&gt;0,H$464&lt;&gt;"")</formula>
    </cfRule>
    <cfRule type="expression" dxfId="358" priority="10554" stopIfTrue="1">
      <formula>H$465&lt;&gt;"√"</formula>
    </cfRule>
  </conditionalFormatting>
  <conditionalFormatting sqref="I464">
    <cfRule type="expression" dxfId="357" priority="10555">
      <formula>AND(I$464&lt;&gt;0,I$464&lt;&gt;"")</formula>
    </cfRule>
    <cfRule type="expression" dxfId="356" priority="10556" stopIfTrue="1">
      <formula>I$465&lt;&gt;"√"</formula>
    </cfRule>
  </conditionalFormatting>
  <conditionalFormatting sqref="K466">
    <cfRule type="expression" dxfId="355" priority="10557">
      <formula>AND($K$466&lt;&gt;0,$K$466&lt;&gt;"")</formula>
    </cfRule>
    <cfRule type="expression" dxfId="354" priority="10558" stopIfTrue="1">
      <formula>$L$466&lt;&gt;"√"</formula>
    </cfRule>
  </conditionalFormatting>
  <conditionalFormatting sqref="H531">
    <cfRule type="expression" dxfId="353" priority="10559">
      <formula>AND(H$531&lt;&gt;0,H$531&lt;&gt;"")</formula>
    </cfRule>
    <cfRule type="expression" dxfId="352" priority="10560" stopIfTrue="1">
      <formula>H$532&lt;&gt;"√"</formula>
    </cfRule>
  </conditionalFormatting>
  <conditionalFormatting sqref="I531">
    <cfRule type="expression" dxfId="351" priority="10561">
      <formula>AND(I$531&lt;&gt;0,I$531&lt;&gt;"")</formula>
    </cfRule>
    <cfRule type="expression" dxfId="350" priority="10562" stopIfTrue="1">
      <formula>I$532&lt;&gt;"√"</formula>
    </cfRule>
  </conditionalFormatting>
  <conditionalFormatting sqref="K533">
    <cfRule type="expression" dxfId="349" priority="10563">
      <formula>AND($K$533&lt;&gt;0,$K$533&lt;&gt;"")</formula>
    </cfRule>
    <cfRule type="expression" dxfId="348" priority="10564" stopIfTrue="1">
      <formula>$L$533&lt;&gt;"√"</formula>
    </cfRule>
  </conditionalFormatting>
  <conditionalFormatting sqref="H555">
    <cfRule type="expression" dxfId="347" priority="10565">
      <formula>AND(H$555&lt;&gt;0,H$555&lt;&gt;"")</formula>
    </cfRule>
    <cfRule type="expression" dxfId="346" priority="10566" stopIfTrue="1">
      <formula>H$556&lt;&gt;"√"</formula>
    </cfRule>
  </conditionalFormatting>
  <conditionalFormatting sqref="I555">
    <cfRule type="expression" dxfId="345" priority="10567">
      <formula>AND(I$555&lt;&gt;0,I$555&lt;&gt;"")</formula>
    </cfRule>
    <cfRule type="expression" dxfId="344" priority="10568" stopIfTrue="1">
      <formula>I$556&lt;&gt;"√"</formula>
    </cfRule>
  </conditionalFormatting>
  <conditionalFormatting sqref="K557">
    <cfRule type="expression" dxfId="343" priority="10569">
      <formula>AND($K$557&lt;&gt;0,$K$557&lt;&gt;"")</formula>
    </cfRule>
    <cfRule type="expression" dxfId="342" priority="10570" stopIfTrue="1">
      <formula>$L$557&lt;&gt;"√"</formula>
    </cfRule>
  </conditionalFormatting>
  <conditionalFormatting sqref="H1039">
    <cfRule type="expression" dxfId="341" priority="10588">
      <formula>AND(H$1039&lt;&gt;0,H$1039&lt;&gt;"")</formula>
    </cfRule>
    <cfRule type="expression" dxfId="340" priority="10589" stopIfTrue="1">
      <formula>H$1040&lt;&gt;"√"</formula>
    </cfRule>
  </conditionalFormatting>
  <conditionalFormatting sqref="I1039">
    <cfRule type="expression" dxfId="339" priority="10590">
      <formula>AND(I$1039&lt;&gt;0,I$1039&lt;&gt;"")</formula>
    </cfRule>
    <cfRule type="expression" dxfId="338" priority="10591" stopIfTrue="1">
      <formula>I$1040&lt;&gt;"√"</formula>
    </cfRule>
  </conditionalFormatting>
  <conditionalFormatting sqref="J1039">
    <cfRule type="expression" dxfId="337" priority="10592">
      <formula>AND(J$1039&lt;&gt;0,J$1039&lt;&gt;"")</formula>
    </cfRule>
    <cfRule type="expression" dxfId="336" priority="10593" stopIfTrue="1">
      <formula>J$1040&lt;&gt;"√"</formula>
    </cfRule>
  </conditionalFormatting>
  <conditionalFormatting sqref="K1041">
    <cfRule type="expression" dxfId="335" priority="10594">
      <formula>AND($K$1041&lt;&gt;0,$K$1041&lt;&gt;"")</formula>
    </cfRule>
    <cfRule type="expression" dxfId="334" priority="10595" stopIfTrue="1">
      <formula>$L$1041&lt;&gt;"√"</formula>
    </cfRule>
  </conditionalFormatting>
  <conditionalFormatting sqref="H1322">
    <cfRule type="expression" dxfId="333" priority="10596">
      <formula>AND(H$1322&lt;&gt;0,H$1322&lt;&gt;"")</formula>
    </cfRule>
    <cfRule type="expression" dxfId="332" priority="10597" stopIfTrue="1">
      <formula>H$1323&lt;&gt;"√"</formula>
    </cfRule>
  </conditionalFormatting>
  <conditionalFormatting sqref="J1322">
    <cfRule type="expression" dxfId="331" priority="10598">
      <formula>AND(J$1322&lt;&gt;0,J$1322&lt;&gt;"")</formula>
    </cfRule>
    <cfRule type="expression" dxfId="330" priority="10599" stopIfTrue="1">
      <formula>J$1323&lt;&gt;"√"</formula>
    </cfRule>
  </conditionalFormatting>
  <conditionalFormatting sqref="L1322">
    <cfRule type="expression" dxfId="329" priority="10600">
      <formula>AND(L$1322&lt;&gt;0,L$1322&lt;&gt;"")</formula>
    </cfRule>
    <cfRule type="expression" dxfId="328" priority="10601" stopIfTrue="1">
      <formula>L$1323&lt;&gt;"√"</formula>
    </cfRule>
  </conditionalFormatting>
  <conditionalFormatting sqref="K1324">
    <cfRule type="expression" dxfId="327" priority="10602">
      <formula>AND($K$1324&lt;&gt;0,$K$1324&lt;&gt;"")</formula>
    </cfRule>
    <cfRule type="expression" dxfId="326" priority="10603" stopIfTrue="1">
      <formula>$L$1324&lt;&gt;"√"</formula>
    </cfRule>
  </conditionalFormatting>
  <conditionalFormatting sqref="H1487">
    <cfRule type="expression" dxfId="325" priority="10604">
      <formula>AND(H$1487&lt;&gt;0,H$1487&lt;&gt;"")</formula>
    </cfRule>
    <cfRule type="expression" dxfId="324" priority="10605" stopIfTrue="1">
      <formula>H$1488&lt;&gt;"√"</formula>
    </cfRule>
  </conditionalFormatting>
  <conditionalFormatting sqref="N1487">
    <cfRule type="expression" dxfId="323" priority="10606">
      <formula>AND(N$1487&lt;&gt;0,N$1487&lt;&gt;"")</formula>
    </cfRule>
    <cfRule type="expression" dxfId="322" priority="10607" stopIfTrue="1">
      <formula>N$1488&lt;&gt;"√"</formula>
    </cfRule>
  </conditionalFormatting>
  <conditionalFormatting sqref="K1489">
    <cfRule type="expression" dxfId="321" priority="10608">
      <formula>AND($K$1489&lt;&gt;0,$K$1489&lt;&gt;"")</formula>
    </cfRule>
    <cfRule type="expression" dxfId="320" priority="10609" stopIfTrue="1">
      <formula>$L$1489&lt;&gt;"√"</formula>
    </cfRule>
  </conditionalFormatting>
  <conditionalFormatting sqref="H1075">
    <cfRule type="expression" dxfId="319" priority="10611">
      <formula>AND(H$1075&lt;&gt;0,H$1075&lt;&gt;"")</formula>
    </cfRule>
    <cfRule type="expression" dxfId="318" priority="10612" stopIfTrue="1">
      <formula>H$1076&lt;&gt;"√"</formula>
    </cfRule>
  </conditionalFormatting>
  <conditionalFormatting sqref="I1075">
    <cfRule type="expression" dxfId="317" priority="10613">
      <formula>AND(I$1075&lt;&gt;0,I$1075&lt;&gt;"")</formula>
    </cfRule>
    <cfRule type="expression" dxfId="316" priority="10614" stopIfTrue="1">
      <formula>I$1076&lt;&gt;"√"</formula>
    </cfRule>
  </conditionalFormatting>
  <conditionalFormatting sqref="K1077">
    <cfRule type="expression" dxfId="315" priority="10615">
      <formula>AND($K$1077&lt;&gt;0,$K$1077&lt;&gt;"")</formula>
    </cfRule>
    <cfRule type="expression" dxfId="314" priority="10616" stopIfTrue="1">
      <formula>$L$1077&lt;&gt;"√"</formula>
    </cfRule>
  </conditionalFormatting>
  <conditionalFormatting sqref="H1097">
    <cfRule type="expression" dxfId="313" priority="10617">
      <formula>AND(H$1097&lt;&gt;0,H$1097&lt;&gt;"")</formula>
    </cfRule>
    <cfRule type="expression" dxfId="312" priority="10618" stopIfTrue="1">
      <formula>H$1098&lt;&gt;"√"</formula>
    </cfRule>
  </conditionalFormatting>
  <conditionalFormatting sqref="I1097">
    <cfRule type="expression" dxfId="311" priority="10619">
      <formula>AND(I$1097&lt;&gt;0,I$1097&lt;&gt;"")</formula>
    </cfRule>
    <cfRule type="expression" dxfId="310" priority="10620" stopIfTrue="1">
      <formula>I$1098&lt;&gt;"√"</formula>
    </cfRule>
  </conditionalFormatting>
  <conditionalFormatting sqref="K1099">
    <cfRule type="expression" dxfId="309" priority="10621">
      <formula>AND($K$1099&lt;&gt;0,$K$1099&lt;&gt;"")</formula>
    </cfRule>
    <cfRule type="expression" dxfId="308" priority="10622" stopIfTrue="1">
      <formula>$L$1099&lt;&gt;"√"</formula>
    </cfRule>
  </conditionalFormatting>
  <conditionalFormatting sqref="H1163">
    <cfRule type="expression" dxfId="307" priority="10623">
      <formula>AND(H$1163&lt;&gt;0,H$1163&lt;&gt;"")</formula>
    </cfRule>
    <cfRule type="expression" dxfId="306" priority="10624" stopIfTrue="1">
      <formula>H$1164&lt;&gt;"√"</formula>
    </cfRule>
  </conditionalFormatting>
  <conditionalFormatting sqref="I1163">
    <cfRule type="expression" dxfId="305" priority="10625">
      <formula>AND(I$1163&lt;&gt;0,I$1163&lt;&gt;"")</formula>
    </cfRule>
    <cfRule type="expression" dxfId="304" priority="10626" stopIfTrue="1">
      <formula>I$1164&lt;&gt;"√"</formula>
    </cfRule>
  </conditionalFormatting>
  <conditionalFormatting sqref="K1165">
    <cfRule type="expression" dxfId="303" priority="10627">
      <formula>AND($K$1165&lt;&gt;0,$K$1165&lt;&gt;"")</formula>
    </cfRule>
    <cfRule type="expression" dxfId="302" priority="10628" stopIfTrue="1">
      <formula>$L$1165&lt;&gt;"√"</formula>
    </cfRule>
  </conditionalFormatting>
  <conditionalFormatting sqref="H1185">
    <cfRule type="expression" dxfId="301" priority="10629">
      <formula>AND(H$1185&lt;&gt;0,H$1185&lt;&gt;"")</formula>
    </cfRule>
    <cfRule type="expression" dxfId="300" priority="10630" stopIfTrue="1">
      <formula>H$1186&lt;&gt;"√"</formula>
    </cfRule>
  </conditionalFormatting>
  <conditionalFormatting sqref="I1185">
    <cfRule type="expression" dxfId="299" priority="10631">
      <formula>AND(I$1185&lt;&gt;0,I$1185&lt;&gt;"")</formula>
    </cfRule>
    <cfRule type="expression" dxfId="298" priority="10632" stopIfTrue="1">
      <formula>I$1186&lt;&gt;"√"</formula>
    </cfRule>
  </conditionalFormatting>
  <conditionalFormatting sqref="K1187">
    <cfRule type="expression" dxfId="297" priority="10633">
      <formula>AND($K$1187&lt;&gt;0,$K$1187&lt;&gt;"")</formula>
    </cfRule>
    <cfRule type="expression" dxfId="296" priority="10634" stopIfTrue="1">
      <formula>$L$1187&lt;&gt;"√"</formula>
    </cfRule>
  </conditionalFormatting>
  <conditionalFormatting sqref="H1251">
    <cfRule type="expression" dxfId="295" priority="10635">
      <formula>AND(H$1251&lt;&gt;0,H$1251&lt;&gt;"")</formula>
    </cfRule>
    <cfRule type="expression" dxfId="294" priority="10636" stopIfTrue="1">
      <formula>H$1252&lt;&gt;"√"</formula>
    </cfRule>
  </conditionalFormatting>
  <conditionalFormatting sqref="I1251">
    <cfRule type="expression" dxfId="293" priority="10637">
      <formula>AND(I$1251&lt;&gt;0,I$1251&lt;&gt;"")</formula>
    </cfRule>
    <cfRule type="expression" dxfId="292" priority="10638" stopIfTrue="1">
      <formula>I$1252&lt;&gt;"√"</formula>
    </cfRule>
  </conditionalFormatting>
  <conditionalFormatting sqref="K1253">
    <cfRule type="expression" dxfId="291" priority="10639">
      <formula>AND($K$1253&lt;&gt;0,$K$1253&lt;&gt;"")</formula>
    </cfRule>
    <cfRule type="expression" dxfId="290" priority="10640" stopIfTrue="1">
      <formula>$L$1253&lt;&gt;"√"</formula>
    </cfRule>
  </conditionalFormatting>
  <conditionalFormatting sqref="H1273">
    <cfRule type="expression" dxfId="289" priority="10641">
      <formula>AND(H$1273&lt;&gt;0,H$1273&lt;&gt;"")</formula>
    </cfRule>
    <cfRule type="expression" dxfId="288" priority="10642" stopIfTrue="1">
      <formula>H$1274&lt;&gt;"√"</formula>
    </cfRule>
  </conditionalFormatting>
  <conditionalFormatting sqref="I1273">
    <cfRule type="expression" dxfId="287" priority="10643">
      <formula>AND(I$1273&lt;&gt;0,I$1273&lt;&gt;"")</formula>
    </cfRule>
    <cfRule type="expression" dxfId="286" priority="10644" stopIfTrue="1">
      <formula>I$1274&lt;&gt;"√"</formula>
    </cfRule>
  </conditionalFormatting>
  <conditionalFormatting sqref="K1275">
    <cfRule type="expression" dxfId="285" priority="10645">
      <formula>AND($K$1275&lt;&gt;0,$K$1275&lt;&gt;"")</formula>
    </cfRule>
    <cfRule type="expression" dxfId="284" priority="10646" stopIfTrue="1">
      <formula>$L$1275&lt;&gt;"√"</formula>
    </cfRule>
  </conditionalFormatting>
  <conditionalFormatting sqref="H1344">
    <cfRule type="expression" dxfId="283" priority="10647">
      <formula>AND(H$1344&lt;&gt;0,H$1344&lt;&gt;"")</formula>
    </cfRule>
    <cfRule type="expression" dxfId="282" priority="10648" stopIfTrue="1">
      <formula>H$1345&lt;&gt;"√"</formula>
    </cfRule>
  </conditionalFormatting>
  <conditionalFormatting sqref="I1344">
    <cfRule type="expression" dxfId="281" priority="10649">
      <formula>AND(I$1344&lt;&gt;0,I$1344&lt;&gt;"")</formula>
    </cfRule>
    <cfRule type="expression" dxfId="280" priority="10650" stopIfTrue="1">
      <formula>I$1345&lt;&gt;"√"</formula>
    </cfRule>
  </conditionalFormatting>
  <conditionalFormatting sqref="K1346">
    <cfRule type="expression" dxfId="279" priority="10651">
      <formula>AND($K$1346&lt;&gt;0,$K$1346&lt;&gt;"")</formula>
    </cfRule>
    <cfRule type="expression" dxfId="278" priority="10652" stopIfTrue="1">
      <formula>$L$1346&lt;&gt;"√"</formula>
    </cfRule>
  </conditionalFormatting>
  <conditionalFormatting sqref="H1383">
    <cfRule type="expression" dxfId="277" priority="10653">
      <formula>AND(H$1383&lt;&gt;0,H$1383&lt;&gt;"")</formula>
    </cfRule>
    <cfRule type="expression" dxfId="276" priority="10654" stopIfTrue="1">
      <formula>H$1384&lt;&gt;"√"</formula>
    </cfRule>
  </conditionalFormatting>
  <conditionalFormatting sqref="J1383">
    <cfRule type="expression" dxfId="275" priority="10655">
      <formula>AND(J$1383&lt;&gt;0,J$1383&lt;&gt;"")</formula>
    </cfRule>
    <cfRule type="expression" dxfId="274" priority="10656" stopIfTrue="1">
      <formula>J$1384&lt;&gt;"√"</formula>
    </cfRule>
  </conditionalFormatting>
  <conditionalFormatting sqref="L1383">
    <cfRule type="expression" dxfId="273" priority="10657">
      <formula>AND(L$1383&lt;&gt;0,L$1383&lt;&gt;"")</formula>
    </cfRule>
    <cfRule type="expression" dxfId="272" priority="10658" stopIfTrue="1">
      <formula>L$1384&lt;&gt;"√"</formula>
    </cfRule>
  </conditionalFormatting>
  <conditionalFormatting sqref="K1385">
    <cfRule type="expression" dxfId="271" priority="10659">
      <formula>AND($K$1385&lt;&gt;0,$K$1385&lt;&gt;"")</formula>
    </cfRule>
    <cfRule type="expression" dxfId="270" priority="10660" stopIfTrue="1">
      <formula>$L$1385&lt;&gt;"√"</formula>
    </cfRule>
  </conditionalFormatting>
  <conditionalFormatting sqref="H1405">
    <cfRule type="expression" dxfId="269" priority="10661">
      <formula>AND(H$1405&lt;&gt;0,H$1405&lt;&gt;"")</formula>
    </cfRule>
    <cfRule type="expression" dxfId="268" priority="10662" stopIfTrue="1">
      <formula>H$1406&lt;&gt;"√"</formula>
    </cfRule>
  </conditionalFormatting>
  <conditionalFormatting sqref="J1405">
    <cfRule type="expression" dxfId="267" priority="10663">
      <formula>AND(J$1405&lt;&gt;0,J$1405&lt;&gt;"")</formula>
    </cfRule>
    <cfRule type="expression" dxfId="266" priority="10664" stopIfTrue="1">
      <formula>J$1406&lt;&gt;"√"</formula>
    </cfRule>
  </conditionalFormatting>
  <conditionalFormatting sqref="L1405">
    <cfRule type="expression" dxfId="265" priority="10665">
      <formula>AND(L$1405&lt;&gt;0,L$1405&lt;&gt;"")</formula>
    </cfRule>
    <cfRule type="expression" dxfId="264" priority="10666" stopIfTrue="1">
      <formula>L$1406&lt;&gt;"√"</formula>
    </cfRule>
  </conditionalFormatting>
  <conditionalFormatting sqref="K1407">
    <cfRule type="expression" dxfId="263" priority="10667">
      <formula>AND($K$1407&lt;&gt;0,$K$1407&lt;&gt;"")</formula>
    </cfRule>
    <cfRule type="expression" dxfId="262" priority="10668" stopIfTrue="1">
      <formula>$L$1407&lt;&gt;"√"</formula>
    </cfRule>
  </conditionalFormatting>
  <conditionalFormatting sqref="H1424">
    <cfRule type="expression" dxfId="261" priority="10669">
      <formula>AND(H$1424&lt;&gt;0,H$1424&lt;&gt;"")</formula>
    </cfRule>
    <cfRule type="expression" dxfId="260" priority="10670" stopIfTrue="1">
      <formula>H$1425&lt;&gt;"√"</formula>
    </cfRule>
  </conditionalFormatting>
  <conditionalFormatting sqref="I1424">
    <cfRule type="expression" dxfId="259" priority="10671">
      <formula>AND(I$1424&lt;&gt;0,I$1424&lt;&gt;"")</formula>
    </cfRule>
    <cfRule type="expression" dxfId="258" priority="10672" stopIfTrue="1">
      <formula>I$1425&lt;&gt;"√"</formula>
    </cfRule>
  </conditionalFormatting>
  <conditionalFormatting sqref="K1426">
    <cfRule type="expression" dxfId="257" priority="10673">
      <formula>AND($K$1426&lt;&gt;0,$K$1426&lt;&gt;"")</formula>
    </cfRule>
    <cfRule type="expression" dxfId="256" priority="10674" stopIfTrue="1">
      <formula>$L$1426&lt;&gt;"√"</formula>
    </cfRule>
  </conditionalFormatting>
  <conditionalFormatting sqref="H1445">
    <cfRule type="expression" dxfId="255" priority="10675">
      <formula>AND(H$1445&lt;&gt;0,H$1445&lt;&gt;"")</formula>
    </cfRule>
    <cfRule type="expression" dxfId="254" priority="10676" stopIfTrue="1">
      <formula>H$1446&lt;&gt;"√"</formula>
    </cfRule>
  </conditionalFormatting>
  <conditionalFormatting sqref="J1445">
    <cfRule type="expression" dxfId="253" priority="10677">
      <formula>AND(J$1445&lt;&gt;0,J$1445&lt;&gt;"")</formula>
    </cfRule>
    <cfRule type="expression" dxfId="252" priority="10678" stopIfTrue="1">
      <formula>J$1446&lt;&gt;"√"</formula>
    </cfRule>
  </conditionalFormatting>
  <conditionalFormatting sqref="K1447">
    <cfRule type="expression" dxfId="251" priority="10679">
      <formula>AND($K$1447&lt;&gt;0,$K$1447&lt;&gt;"")</formula>
    </cfRule>
    <cfRule type="expression" dxfId="250" priority="10680" stopIfTrue="1">
      <formula>$L$1447&lt;&gt;"√"</formula>
    </cfRule>
  </conditionalFormatting>
  <conditionalFormatting sqref="H1009">
    <cfRule type="expression" dxfId="249" priority="10681">
      <formula>AND(H$1009&lt;&gt;0,H$1009&lt;&gt;"")</formula>
    </cfRule>
    <cfRule type="expression" dxfId="248" priority="10682" stopIfTrue="1">
      <formula>H$1010&lt;&gt;"√"</formula>
    </cfRule>
  </conditionalFormatting>
  <conditionalFormatting sqref="I1009">
    <cfRule type="expression" dxfId="247" priority="10683">
      <formula>AND(I$1009&lt;&gt;0,I$1009&lt;&gt;"")</formula>
    </cfRule>
    <cfRule type="expression" dxfId="246" priority="10684" stopIfTrue="1">
      <formula>I$1010&lt;&gt;"√"</formula>
    </cfRule>
  </conditionalFormatting>
  <conditionalFormatting sqref="K1011">
    <cfRule type="expression" dxfId="245" priority="10685">
      <formula>AND($K$1011&lt;&gt;0,$K$1011&lt;&gt;"")</formula>
    </cfRule>
    <cfRule type="expression" dxfId="244" priority="10686" stopIfTrue="1">
      <formula>$L$1011&lt;&gt;"√"</formula>
    </cfRule>
  </conditionalFormatting>
  <conditionalFormatting sqref="H1678">
    <cfRule type="expression" dxfId="243" priority="10687">
      <formula>AND(H$1678&lt;&gt;0,H$1678&lt;&gt;"")</formula>
    </cfRule>
    <cfRule type="expression" dxfId="242" priority="10688" stopIfTrue="1">
      <formula>H$1679&lt;&gt;"√"</formula>
    </cfRule>
  </conditionalFormatting>
  <conditionalFormatting sqref="K1680">
    <cfRule type="expression" dxfId="241" priority="10689">
      <formula>AND($K$1680&lt;&gt;0,$K$1680&lt;&gt;"")</formula>
    </cfRule>
    <cfRule type="expression" dxfId="240" priority="10690" stopIfTrue="1">
      <formula>$L$1680&lt;&gt;"√"</formula>
    </cfRule>
  </conditionalFormatting>
  <conditionalFormatting sqref="K1695">
    <cfRule type="expression" dxfId="239" priority="10691">
      <formula>AND(K$1695&lt;&gt;0,K$1695&lt;&gt;"")</formula>
    </cfRule>
    <cfRule type="expression" dxfId="238" priority="10692" stopIfTrue="1">
      <formula>K$1696&lt;&gt;"√"</formula>
    </cfRule>
  </conditionalFormatting>
  <conditionalFormatting sqref="L1695">
    <cfRule type="expression" dxfId="237" priority="10693">
      <formula>AND(L$1695&lt;&gt;0,L$1695&lt;&gt;"")</formula>
    </cfRule>
    <cfRule type="expression" dxfId="236" priority="10694" stopIfTrue="1">
      <formula>L$1696&lt;&gt;"√"</formula>
    </cfRule>
  </conditionalFormatting>
  <conditionalFormatting sqref="M1695">
    <cfRule type="expression" dxfId="235" priority="10695">
      <formula>AND(M$1695&lt;&gt;0,M$1695&lt;&gt;"")</formula>
    </cfRule>
    <cfRule type="expression" dxfId="234" priority="10696" stopIfTrue="1">
      <formula>M$1696&lt;&gt;"√"</formula>
    </cfRule>
  </conditionalFormatting>
  <conditionalFormatting sqref="K1697">
    <cfRule type="expression" dxfId="233" priority="10697">
      <formula>AND($K$1697&lt;&gt;0,$K$1697&lt;&gt;"")</formula>
    </cfRule>
    <cfRule type="expression" dxfId="232" priority="10698" stopIfTrue="1">
      <formula>$L$1697&lt;&gt;"√"</formula>
    </cfRule>
  </conditionalFormatting>
  <conditionalFormatting sqref="I1712">
    <cfRule type="expression" dxfId="231" priority="10699">
      <formula>AND(I$1712&lt;&gt;0,I$1712&lt;&gt;"")</formula>
    </cfRule>
    <cfRule type="expression" dxfId="230" priority="10700" stopIfTrue="1">
      <formula>I$1713&lt;&gt;"√"</formula>
    </cfRule>
  </conditionalFormatting>
  <conditionalFormatting sqref="L1712">
    <cfRule type="expression" dxfId="229" priority="10701">
      <formula>AND(L$1712&lt;&gt;0,L$1712&lt;&gt;"")</formula>
    </cfRule>
    <cfRule type="expression" dxfId="228" priority="10702" stopIfTrue="1">
      <formula>L$1713&lt;&gt;"√"</formula>
    </cfRule>
  </conditionalFormatting>
  <conditionalFormatting sqref="M1712">
    <cfRule type="expression" dxfId="227" priority="10703">
      <formula>AND(M$1712&lt;&gt;0,M$1712&lt;&gt;"")</formula>
    </cfRule>
    <cfRule type="expression" dxfId="226" priority="10704" stopIfTrue="1">
      <formula>M$1713&lt;&gt;"√"</formula>
    </cfRule>
  </conditionalFormatting>
  <conditionalFormatting sqref="K1714">
    <cfRule type="expression" dxfId="225" priority="10705">
      <formula>AND($K$1714&lt;&gt;0,$K$1714&lt;&gt;"")</formula>
    </cfRule>
    <cfRule type="expression" dxfId="224" priority="10706" stopIfTrue="1">
      <formula>$L$1714&lt;&gt;"√"</formula>
    </cfRule>
  </conditionalFormatting>
  <conditionalFormatting sqref="H1865">
    <cfRule type="expression" dxfId="223" priority="10707">
      <formula>AND(H$1865&lt;&gt;0,H$1865&lt;&gt;"")</formula>
    </cfRule>
    <cfRule type="expression" dxfId="222" priority="10708" stopIfTrue="1">
      <formula>H$1866&lt;&gt;"√"</formula>
    </cfRule>
  </conditionalFormatting>
  <conditionalFormatting sqref="I1865">
    <cfRule type="expression" dxfId="221" priority="10709">
      <formula>AND(I$1865&lt;&gt;0,I$1865&lt;&gt;"")</formula>
    </cfRule>
    <cfRule type="expression" dxfId="220" priority="10710" stopIfTrue="1">
      <formula>I$1866&lt;&gt;"√"</formula>
    </cfRule>
  </conditionalFormatting>
  <conditionalFormatting sqref="J1865">
    <cfRule type="expression" dxfId="219" priority="10711">
      <formula>AND(J$1865&lt;&gt;0,J$1865&lt;&gt;"")</formula>
    </cfRule>
    <cfRule type="expression" dxfId="218" priority="10712" stopIfTrue="1">
      <formula>J$1866&lt;&gt;"√"</formula>
    </cfRule>
  </conditionalFormatting>
  <conditionalFormatting sqref="K1867">
    <cfRule type="expression" dxfId="217" priority="10713">
      <formula>AND($K$1867&lt;&gt;0,$K$1867&lt;&gt;"")</formula>
    </cfRule>
    <cfRule type="expression" dxfId="216" priority="10714" stopIfTrue="1">
      <formula>$L$1867&lt;&gt;"√"</formula>
    </cfRule>
  </conditionalFormatting>
  <conditionalFormatting sqref="H1923">
    <cfRule type="expression" dxfId="215" priority="10715">
      <formula>AND(H$1923&lt;&gt;0,H$1923&lt;&gt;"")</formula>
    </cfRule>
    <cfRule type="expression" dxfId="214" priority="10716" stopIfTrue="1">
      <formula>H$1924&lt;&gt;"√"</formula>
    </cfRule>
  </conditionalFormatting>
  <conditionalFormatting sqref="N1923">
    <cfRule type="expression" dxfId="213" priority="10717">
      <formula>AND(N$1923&lt;&gt;0,N$1923&lt;&gt;"")</formula>
    </cfRule>
    <cfRule type="expression" dxfId="212" priority="10718" stopIfTrue="1">
      <formula>N$1924&lt;&gt;"√"</formula>
    </cfRule>
  </conditionalFormatting>
  <conditionalFormatting sqref="K1925">
    <cfRule type="expression" dxfId="211" priority="10719">
      <formula>AND($K$1925&lt;&gt;0,$K$1925&lt;&gt;"")</formula>
    </cfRule>
    <cfRule type="expression" dxfId="210" priority="10720" stopIfTrue="1">
      <formula>$L$1925&lt;&gt;"√"</formula>
    </cfRule>
  </conditionalFormatting>
  <conditionalFormatting sqref="H2230">
    <cfRule type="expression" dxfId="209" priority="10722">
      <formula>AND(H$2230&lt;&gt;0,H$2230&lt;&gt;"")</formula>
    </cfRule>
    <cfRule type="expression" dxfId="208" priority="10723" stopIfTrue="1">
      <formula>H$2231&lt;&gt;"√"</formula>
    </cfRule>
  </conditionalFormatting>
  <conditionalFormatting sqref="I2230">
    <cfRule type="expression" dxfId="207" priority="10724">
      <formula>AND(I$2230&lt;&gt;0,I$2230&lt;&gt;"")</formula>
    </cfRule>
    <cfRule type="expression" dxfId="206" priority="10725" stopIfTrue="1">
      <formula>I$2231&lt;&gt;"√"</formula>
    </cfRule>
  </conditionalFormatting>
  <conditionalFormatting sqref="J2230">
    <cfRule type="expression" dxfId="205" priority="10726">
      <formula>AND(J$2230&lt;&gt;0,J$2230&lt;&gt;"")</formula>
    </cfRule>
    <cfRule type="expression" dxfId="204" priority="10727" stopIfTrue="1">
      <formula>J$2231&lt;&gt;"√"</formula>
    </cfRule>
  </conditionalFormatting>
  <conditionalFormatting sqref="K2232">
    <cfRule type="expression" dxfId="203" priority="10728">
      <formula>AND($K$2232&lt;&gt;0,$K$2232&lt;&gt;"")</formula>
    </cfRule>
    <cfRule type="expression" dxfId="202" priority="10729" stopIfTrue="1">
      <formula>$L$2232&lt;&gt;"√"</formula>
    </cfRule>
  </conditionalFormatting>
  <conditionalFormatting sqref="H2289">
    <cfRule type="expression" dxfId="201" priority="10731">
      <formula>AND(H$2289&lt;&gt;0,H$2289&lt;&gt;"")</formula>
    </cfRule>
    <cfRule type="expression" dxfId="200" priority="10732" stopIfTrue="1">
      <formula>H$2290&lt;&gt;"√"</formula>
    </cfRule>
  </conditionalFormatting>
  <conditionalFormatting sqref="J2289">
    <cfRule type="expression" dxfId="199" priority="10733">
      <formula>AND(J$2289&lt;&gt;0,J$2289&lt;&gt;"")</formula>
    </cfRule>
    <cfRule type="expression" dxfId="198" priority="10734" stopIfTrue="1">
      <formula>J$2290&lt;&gt;"√"</formula>
    </cfRule>
  </conditionalFormatting>
  <conditionalFormatting sqref="L2289">
    <cfRule type="expression" dxfId="197" priority="10735">
      <formula>AND(L$2289&lt;&gt;0,L$2289&lt;&gt;"")</formula>
    </cfRule>
    <cfRule type="expression" dxfId="196" priority="10736" stopIfTrue="1">
      <formula>L$2290&lt;&gt;"√"</formula>
    </cfRule>
  </conditionalFormatting>
  <conditionalFormatting sqref="K2291">
    <cfRule type="expression" dxfId="195" priority="10737">
      <formula>AND($K$2291&lt;&gt;0,$K$2291&lt;&gt;"")</formula>
    </cfRule>
    <cfRule type="expression" dxfId="194" priority="10738" stopIfTrue="1">
      <formula>$L$2291&lt;&gt;"√"</formula>
    </cfRule>
  </conditionalFormatting>
  <conditionalFormatting sqref="H2311">
    <cfRule type="expression" dxfId="193" priority="10739">
      <formula>AND(H$2311&lt;&gt;0,H$2311&lt;&gt;"")</formula>
    </cfRule>
    <cfRule type="expression" dxfId="192" priority="10740" stopIfTrue="1">
      <formula>H$2312&lt;&gt;"√"</formula>
    </cfRule>
  </conditionalFormatting>
  <conditionalFormatting sqref="I2311">
    <cfRule type="expression" dxfId="191" priority="10741">
      <formula>AND(I$2311&lt;&gt;0,I$2311&lt;&gt;"")</formula>
    </cfRule>
    <cfRule type="expression" dxfId="190" priority="10742" stopIfTrue="1">
      <formula>I$2312&lt;&gt;"√"</formula>
    </cfRule>
  </conditionalFormatting>
  <conditionalFormatting sqref="K2313">
    <cfRule type="expression" dxfId="189" priority="10743">
      <formula>AND($K$2313&lt;&gt;0,$K$2313&lt;&gt;"")</formula>
    </cfRule>
    <cfRule type="expression" dxfId="188" priority="10744" stopIfTrue="1">
      <formula>$L$2313&lt;&gt;"√"</formula>
    </cfRule>
  </conditionalFormatting>
  <conditionalFormatting sqref="H2345">
    <cfRule type="expression" dxfId="187" priority="10745">
      <formula>AND(H$2345&lt;&gt;0,H$2345&lt;&gt;"")</formula>
    </cfRule>
    <cfRule type="expression" dxfId="186" priority="10746" stopIfTrue="1">
      <formula>H$2346&lt;&gt;"√"</formula>
    </cfRule>
  </conditionalFormatting>
  <conditionalFormatting sqref="N2345">
    <cfRule type="expression" dxfId="185" priority="10747">
      <formula>AND(N$2345&lt;&gt;0,N$2345&lt;&gt;"")</formula>
    </cfRule>
    <cfRule type="expression" dxfId="184" priority="10748" stopIfTrue="1">
      <formula>N$2346&lt;&gt;"√"</formula>
    </cfRule>
  </conditionalFormatting>
  <conditionalFormatting sqref="K2347">
    <cfRule type="expression" dxfId="183" priority="10749">
      <formula>AND($K$2347&lt;&gt;0,$K$2347&lt;&gt;"")</formula>
    </cfRule>
    <cfRule type="expression" dxfId="182" priority="10750" stopIfTrue="1">
      <formula>$L$2347&lt;&gt;"√"</formula>
    </cfRule>
  </conditionalFormatting>
  <conditionalFormatting sqref="H2459">
    <cfRule type="expression" dxfId="181" priority="10751">
      <formula>AND(H$2459&lt;&gt;0,H$2459&lt;&gt;"")</formula>
    </cfRule>
    <cfRule type="expression" dxfId="180" priority="10752" stopIfTrue="1">
      <formula>H$2460&lt;&gt;"√"</formula>
    </cfRule>
  </conditionalFormatting>
  <conditionalFormatting sqref="K2459">
    <cfRule type="expression" dxfId="179" priority="10753">
      <formula>AND(K$2459&lt;&gt;0,K$2459&lt;&gt;"")</formula>
    </cfRule>
    <cfRule type="expression" dxfId="178" priority="10754" stopIfTrue="1">
      <formula>K$2460&lt;&gt;"√"</formula>
    </cfRule>
  </conditionalFormatting>
  <conditionalFormatting sqref="M2459">
    <cfRule type="expression" dxfId="177" priority="10755">
      <formula>AND(M$2459&lt;&gt;0,M$2459&lt;&gt;"")</formula>
    </cfRule>
    <cfRule type="expression" dxfId="176" priority="10756" stopIfTrue="1">
      <formula>M$2460&lt;&gt;"√"</formula>
    </cfRule>
  </conditionalFormatting>
  <conditionalFormatting sqref="K2461">
    <cfRule type="expression" dxfId="175" priority="10757">
      <formula>AND($K$2461&lt;&gt;0,$K$2461&lt;&gt;"")</formula>
    </cfRule>
    <cfRule type="expression" dxfId="174" priority="10758" stopIfTrue="1">
      <formula>$L$2461&lt;&gt;"√"</formula>
    </cfRule>
  </conditionalFormatting>
  <conditionalFormatting sqref="I2427">
    <cfRule type="expression" dxfId="173" priority="10759">
      <formula>AND(I$2427&lt;&gt;0,I$2427&lt;&gt;"")</formula>
    </cfRule>
    <cfRule type="expression" dxfId="172" priority="10760" stopIfTrue="1">
      <formula>I$2428&lt;&gt;"√"</formula>
    </cfRule>
  </conditionalFormatting>
  <conditionalFormatting sqref="J2427">
    <cfRule type="expression" dxfId="171" priority="10761">
      <formula>AND(J$2427&lt;&gt;0,J$2427&lt;&gt;"")</formula>
    </cfRule>
    <cfRule type="expression" dxfId="170" priority="10762" stopIfTrue="1">
      <formula>J$2428&lt;&gt;"√"</formula>
    </cfRule>
  </conditionalFormatting>
  <conditionalFormatting sqref="M2427">
    <cfRule type="expression" dxfId="169" priority="10763">
      <formula>AND(M$2427&lt;&gt;0,M$2427&lt;&gt;"")</formula>
    </cfRule>
    <cfRule type="expression" dxfId="168" priority="10764" stopIfTrue="1">
      <formula>M$2428&lt;&gt;"√"</formula>
    </cfRule>
  </conditionalFormatting>
  <conditionalFormatting sqref="K2429">
    <cfRule type="expression" dxfId="167" priority="10765">
      <formula>AND($K$2429&lt;&gt;0,$K$2429&lt;&gt;"")</formula>
    </cfRule>
    <cfRule type="expression" dxfId="166" priority="10766" stopIfTrue="1">
      <formula>$L$2429&lt;&gt;"√"</formula>
    </cfRule>
  </conditionalFormatting>
  <conditionalFormatting sqref="H2893">
    <cfRule type="expression" dxfId="165" priority="10769">
      <formula>AND(H$2893&lt;&gt;0,H$2893&lt;&gt;"")</formula>
    </cfRule>
    <cfRule type="expression" dxfId="164" priority="10770" stopIfTrue="1">
      <formula>H$2894&lt;&gt;"√"</formula>
    </cfRule>
  </conditionalFormatting>
  <conditionalFormatting sqref="I2893">
    <cfRule type="expression" dxfId="163" priority="10771">
      <formula>AND(I$2893&lt;&gt;0,I$2893&lt;&gt;"")</formula>
    </cfRule>
    <cfRule type="expression" dxfId="162" priority="10772" stopIfTrue="1">
      <formula>I$2894&lt;&gt;"√"</formula>
    </cfRule>
  </conditionalFormatting>
  <conditionalFormatting sqref="K2895">
    <cfRule type="expression" dxfId="161" priority="10773">
      <formula>AND($K$2895&lt;&gt;0,$K$2895&lt;&gt;"")</formula>
    </cfRule>
    <cfRule type="expression" dxfId="160" priority="10774" stopIfTrue="1">
      <formula>$L$2895&lt;&gt;"√"</formula>
    </cfRule>
  </conditionalFormatting>
  <conditionalFormatting sqref="H3467">
    <cfRule type="expression" dxfId="159" priority="10775">
      <formula>AND(H$3467&lt;&gt;0,H$3467&lt;&gt;"")</formula>
    </cfRule>
    <cfRule type="expression" dxfId="158" priority="10776" stopIfTrue="1">
      <formula>H$3468&lt;&gt;"√"</formula>
    </cfRule>
  </conditionalFormatting>
  <conditionalFormatting sqref="I3467">
    <cfRule type="expression" dxfId="157" priority="10777">
      <formula>AND(I$3467&lt;&gt;0,I$3467&lt;&gt;"")</formula>
    </cfRule>
    <cfRule type="expression" dxfId="156" priority="10778" stopIfTrue="1">
      <formula>I$3468&lt;&gt;"√"</formula>
    </cfRule>
  </conditionalFormatting>
  <conditionalFormatting sqref="K3469">
    <cfRule type="expression" dxfId="155" priority="10779">
      <formula>AND($K$3469&lt;&gt;0,$K$3469&lt;&gt;"")</formula>
    </cfRule>
    <cfRule type="expression" dxfId="154" priority="10780" stopIfTrue="1">
      <formula>$L$3469&lt;&gt;"√"</formula>
    </cfRule>
  </conditionalFormatting>
  <conditionalFormatting sqref="H3554">
    <cfRule type="expression" dxfId="153" priority="10781">
      <formula>AND(H$3554&lt;&gt;0,H$3554&lt;&gt;"")</formula>
    </cfRule>
    <cfRule type="expression" dxfId="152" priority="10782" stopIfTrue="1">
      <formula>H$3555&lt;&gt;"√"</formula>
    </cfRule>
  </conditionalFormatting>
  <conditionalFormatting sqref="I3554">
    <cfRule type="expression" dxfId="151" priority="10783">
      <formula>AND(I$3554&lt;&gt;0,I$3554&lt;&gt;"")</formula>
    </cfRule>
    <cfRule type="expression" dxfId="150" priority="10784" stopIfTrue="1">
      <formula>I$3555&lt;&gt;"√"</formula>
    </cfRule>
  </conditionalFormatting>
  <conditionalFormatting sqref="K3556">
    <cfRule type="expression" dxfId="149" priority="10785">
      <formula>AND($K$3556&lt;&gt;0,$K$3556&lt;&gt;"")</formula>
    </cfRule>
    <cfRule type="expression" dxfId="148" priority="10786" stopIfTrue="1">
      <formula>$L$3556&lt;&gt;"√"</formula>
    </cfRule>
  </conditionalFormatting>
  <conditionalFormatting sqref="G3544:G3549">
    <cfRule type="expression" dxfId="147" priority="10787">
      <formula>$D3544&gt;1</formula>
    </cfRule>
    <cfRule type="expression" dxfId="146" priority="10788">
      <formula>$C3544="%IN"</formula>
    </cfRule>
    <cfRule type="expression" dxfId="145" priority="10789" stopIfTrue="1">
      <formula>$E3544=0</formula>
    </cfRule>
  </conditionalFormatting>
  <conditionalFormatting sqref="H3653">
    <cfRule type="expression" dxfId="144" priority="10790">
      <formula>AND(H$3653&lt;&gt;0,H$3653&lt;&gt;"")</formula>
    </cfRule>
    <cfRule type="expression" dxfId="143" priority="10791" stopIfTrue="1">
      <formula>H$3654&lt;&gt;"√"</formula>
    </cfRule>
  </conditionalFormatting>
  <conditionalFormatting sqref="I3653">
    <cfRule type="expression" dxfId="142" priority="10792">
      <formula>AND(I$3653&lt;&gt;0,I$3653&lt;&gt;"")</formula>
    </cfRule>
    <cfRule type="expression" dxfId="141" priority="10793" stopIfTrue="1">
      <formula>I$3654&lt;&gt;"√"</formula>
    </cfRule>
  </conditionalFormatting>
  <conditionalFormatting sqref="J3653">
    <cfRule type="expression" dxfId="140" priority="10794">
      <formula>AND(J$3653&lt;&gt;0,J$3653&lt;&gt;"")</formula>
    </cfRule>
    <cfRule type="expression" dxfId="139" priority="10795" stopIfTrue="1">
      <formula>J$3654&lt;&gt;"√"</formula>
    </cfRule>
  </conditionalFormatting>
  <conditionalFormatting sqref="K3653">
    <cfRule type="expression" dxfId="138" priority="10796">
      <formula>AND(K$3653&lt;&gt;0,K$3653&lt;&gt;"")</formula>
    </cfRule>
    <cfRule type="expression" dxfId="137" priority="10797" stopIfTrue="1">
      <formula>K$3654&lt;&gt;"√"</formula>
    </cfRule>
  </conditionalFormatting>
  <conditionalFormatting sqref="K3655">
    <cfRule type="expression" dxfId="136" priority="10798">
      <formula>AND($K$3655&lt;&gt;0,$K$3655&lt;&gt;"")</formula>
    </cfRule>
    <cfRule type="expression" dxfId="135" priority="10799" stopIfTrue="1">
      <formula>$L$3655&lt;&gt;"√"</formula>
    </cfRule>
  </conditionalFormatting>
  <conditionalFormatting sqref="H3677">
    <cfRule type="expression" dxfId="134" priority="10800">
      <formula>AND(H$3677&lt;&gt;0,H$3677&lt;&gt;"")</formula>
    </cfRule>
    <cfRule type="expression" dxfId="133" priority="10801" stopIfTrue="1">
      <formula>H$3678&lt;&gt;"√"</formula>
    </cfRule>
  </conditionalFormatting>
  <conditionalFormatting sqref="I3677">
    <cfRule type="expression" dxfId="132" priority="10802">
      <formula>AND(I$3677&lt;&gt;0,I$3677&lt;&gt;"")</formula>
    </cfRule>
    <cfRule type="expression" dxfId="131" priority="10803" stopIfTrue="1">
      <formula>I$3678&lt;&gt;"√"</formula>
    </cfRule>
  </conditionalFormatting>
  <conditionalFormatting sqref="J3677">
    <cfRule type="expression" dxfId="130" priority="10804">
      <formula>AND(J$3677&lt;&gt;0,J$3677&lt;&gt;"")</formula>
    </cfRule>
    <cfRule type="expression" dxfId="129" priority="10805" stopIfTrue="1">
      <formula>J$3678&lt;&gt;"√"</formula>
    </cfRule>
  </conditionalFormatting>
  <conditionalFormatting sqref="K3677">
    <cfRule type="expression" dxfId="128" priority="10806">
      <formula>AND(K$3677&lt;&gt;0,K$3677&lt;&gt;"")</formula>
    </cfRule>
    <cfRule type="expression" dxfId="127" priority="10807" stopIfTrue="1">
      <formula>K$3678&lt;&gt;"√"</formula>
    </cfRule>
  </conditionalFormatting>
  <conditionalFormatting sqref="K3679">
    <cfRule type="expression" dxfId="126" priority="10808">
      <formula>AND($K$3679&lt;&gt;0,$K$3679&lt;&gt;"")</formula>
    </cfRule>
    <cfRule type="expression" dxfId="125" priority="10809" stopIfTrue="1">
      <formula>$L$3679&lt;&gt;"√"</formula>
    </cfRule>
  </conditionalFormatting>
  <conditionalFormatting sqref="H3852">
    <cfRule type="expression" dxfId="124" priority="10811">
      <formula>AND(H$3852&lt;&gt;0,H$3852&lt;&gt;"")</formula>
    </cfRule>
    <cfRule type="expression" dxfId="123" priority="10812" stopIfTrue="1">
      <formula>H$3853&lt;&gt;"√"</formula>
    </cfRule>
  </conditionalFormatting>
  <conditionalFormatting sqref="I3852">
    <cfRule type="expression" dxfId="122" priority="10813">
      <formula>AND(I$3852&lt;&gt;0,I$3852&lt;&gt;"")</formula>
    </cfRule>
    <cfRule type="expression" dxfId="121" priority="10814" stopIfTrue="1">
      <formula>I$3853&lt;&gt;"√"</formula>
    </cfRule>
  </conditionalFormatting>
  <conditionalFormatting sqref="K3854">
    <cfRule type="expression" dxfId="120" priority="10815">
      <formula>AND($K$3854&lt;&gt;0,$K$3854&lt;&gt;"")</formula>
    </cfRule>
    <cfRule type="expression" dxfId="119" priority="10816" stopIfTrue="1">
      <formula>$L$3854&lt;&gt;"√"</formula>
    </cfRule>
  </conditionalFormatting>
  <conditionalFormatting sqref="H4132">
    <cfRule type="expression" dxfId="118" priority="10817">
      <formula>AND(H$4132&lt;&gt;0,H$4132&lt;&gt;"")</formula>
    </cfRule>
    <cfRule type="expression" dxfId="117" priority="10818" stopIfTrue="1">
      <formula>H$4133&lt;&gt;"√"</formula>
    </cfRule>
  </conditionalFormatting>
  <conditionalFormatting sqref="I4132">
    <cfRule type="expression" dxfId="116" priority="10819">
      <formula>AND(I$4132&lt;&gt;0,I$4132&lt;&gt;"")</formula>
    </cfRule>
    <cfRule type="expression" dxfId="115" priority="10820" stopIfTrue="1">
      <formula>I$4133&lt;&gt;"√"</formula>
    </cfRule>
  </conditionalFormatting>
  <conditionalFormatting sqref="K4134">
    <cfRule type="expression" dxfId="114" priority="10821">
      <formula>AND($K$4134&lt;&gt;0,$K$4134&lt;&gt;"")</formula>
    </cfRule>
    <cfRule type="expression" dxfId="113" priority="10822" stopIfTrue="1">
      <formula>$L$4134&lt;&gt;"√"</formula>
    </cfRule>
  </conditionalFormatting>
  <conditionalFormatting sqref="H4282">
    <cfRule type="expression" dxfId="112" priority="10823">
      <formula>AND(H$4282&lt;&gt;0,H$4282&lt;&gt;"")</formula>
    </cfRule>
    <cfRule type="expression" dxfId="111" priority="10824" stopIfTrue="1">
      <formula>H$4283&lt;&gt;"√"</formula>
    </cfRule>
  </conditionalFormatting>
  <conditionalFormatting sqref="M4282">
    <cfRule type="expression" dxfId="110" priority="10825">
      <formula>AND(M$4282&lt;&gt;0,M$4282&lt;&gt;"")</formula>
    </cfRule>
    <cfRule type="expression" dxfId="109" priority="10826" stopIfTrue="1">
      <formula>M$4283&lt;&gt;"√"</formula>
    </cfRule>
  </conditionalFormatting>
  <conditionalFormatting sqref="K4284">
    <cfRule type="expression" dxfId="108" priority="10827">
      <formula>AND($K$4284&lt;&gt;0,$K$4284&lt;&gt;"")</formula>
    </cfRule>
    <cfRule type="expression" dxfId="107" priority="10828" stopIfTrue="1">
      <formula>$L$4284&lt;&gt;"√"</formula>
    </cfRule>
  </conditionalFormatting>
  <conditionalFormatting sqref="G4641">
    <cfRule type="expression" dxfId="106" priority="10837">
      <formula>$D4640&gt;1</formula>
    </cfRule>
    <cfRule type="expression" dxfId="105" priority="10838">
      <formula>$C4640="%IN"</formula>
    </cfRule>
    <cfRule type="expression" dxfId="104" priority="10839" stopIfTrue="1">
      <formula>$E4640=0</formula>
    </cfRule>
  </conditionalFormatting>
  <conditionalFormatting sqref="G4640">
    <cfRule type="expression" dxfId="103" priority="10844">
      <formula>$D4641&gt;1</formula>
    </cfRule>
    <cfRule type="expression" dxfId="102" priority="10845">
      <formula>$C4641="%IN"</formula>
    </cfRule>
    <cfRule type="expression" dxfId="101" priority="10846" stopIfTrue="1">
      <formula>$E4641=0</formula>
    </cfRule>
  </conditionalFormatting>
  <conditionalFormatting sqref="H4796">
    <cfRule type="expression" dxfId="100" priority="10847">
      <formula>AND(H$4796&lt;&gt;0,H$4796&lt;&gt;"")</formula>
    </cfRule>
    <cfRule type="expression" dxfId="99" priority="10848" stopIfTrue="1">
      <formula>H$4797&lt;&gt;"√"</formula>
    </cfRule>
  </conditionalFormatting>
  <conditionalFormatting sqref="K4798">
    <cfRule type="expression" dxfId="98" priority="10849">
      <formula>AND($K$4798&lt;&gt;0,$K$4798&lt;&gt;"")</formula>
    </cfRule>
    <cfRule type="expression" dxfId="97" priority="10850" stopIfTrue="1">
      <formula>$L$4798&lt;&gt;"√"</formula>
    </cfRule>
  </conditionalFormatting>
  <conditionalFormatting sqref="L777">
    <cfRule type="expression" dxfId="96" priority="10852" stopIfTrue="1">
      <formula>OR($L$777="F/S",$L$777="")</formula>
    </cfRule>
    <cfRule type="cellIs" dxfId="95" priority="10853" stopIfTrue="1" operator="notEqual">
      <formula>0</formula>
    </cfRule>
  </conditionalFormatting>
  <conditionalFormatting sqref="O777">
    <cfRule type="expression" dxfId="94" priority="10854" stopIfTrue="1">
      <formula>OR($O$777="F/S",$O$777="")</formula>
    </cfRule>
    <cfRule type="cellIs" dxfId="93" priority="10855" stopIfTrue="1" operator="notEqual">
      <formula>0</formula>
    </cfRule>
  </conditionalFormatting>
  <conditionalFormatting sqref="I777">
    <cfRule type="expression" dxfId="92" priority="46" stopIfTrue="1">
      <formula>$I777="适用"</formula>
    </cfRule>
    <cfRule type="expression" dxfId="91" priority="47" stopIfTrue="1">
      <formula>$I777="不适用"</formula>
    </cfRule>
  </conditionalFormatting>
  <conditionalFormatting sqref="Q777">
    <cfRule type="expression" dxfId="90" priority="45" stopIfTrue="1">
      <formula>$Q777="请输入"</formula>
    </cfRule>
  </conditionalFormatting>
  <conditionalFormatting sqref="L792:L794 L796:L803">
    <cfRule type="expression" dxfId="89" priority="10859" stopIfTrue="1">
      <formula>OR($L$792="F/S",$L$792="")</formula>
    </cfRule>
    <cfRule type="cellIs" dxfId="88" priority="10860" stopIfTrue="1" operator="notEqual">
      <formula>0</formula>
    </cfRule>
  </conditionalFormatting>
  <conditionalFormatting sqref="O792:O810">
    <cfRule type="expression" dxfId="87" priority="10861" stopIfTrue="1">
      <formula>OR($O$792="F/S",$O$792="")</formula>
    </cfRule>
    <cfRule type="cellIs" dxfId="86" priority="10862" stopIfTrue="1" operator="notEqual">
      <formula>0</formula>
    </cfRule>
  </conditionalFormatting>
  <conditionalFormatting sqref="I792">
    <cfRule type="expression" dxfId="85" priority="36" stopIfTrue="1">
      <formula>$I792="适用"</formula>
    </cfRule>
    <cfRule type="expression" dxfId="84" priority="37" stopIfTrue="1">
      <formula>$I792="不适用"</formula>
    </cfRule>
  </conditionalFormatting>
  <conditionalFormatting sqref="L811:L813 L816:L825">
    <cfRule type="expression" dxfId="83" priority="10866" stopIfTrue="1">
      <formula>OR($L$811="F/S",$L$811="")</formula>
    </cfRule>
    <cfRule type="cellIs" dxfId="82" priority="10867" stopIfTrue="1" operator="notEqual">
      <formula>0</formula>
    </cfRule>
  </conditionalFormatting>
  <conditionalFormatting sqref="O811:O832">
    <cfRule type="expression" dxfId="81" priority="10868" stopIfTrue="1">
      <formula>OR($O$811="F/S",$O$811="")</formula>
    </cfRule>
    <cfRule type="cellIs" dxfId="80" priority="10869" stopIfTrue="1" operator="notEqual">
      <formula>0</formula>
    </cfRule>
  </conditionalFormatting>
  <conditionalFormatting sqref="I811">
    <cfRule type="expression" dxfId="79" priority="26" stopIfTrue="1">
      <formula>$I811="适用"</formula>
    </cfRule>
    <cfRule type="expression" dxfId="78" priority="27" stopIfTrue="1">
      <formula>$I811="不适用"</formula>
    </cfRule>
  </conditionalFormatting>
  <conditionalFormatting sqref="L833:L835 L838:L847">
    <cfRule type="expression" dxfId="77" priority="10873" stopIfTrue="1">
      <formula>OR($L$833="F/S",$L$833="")</formula>
    </cfRule>
    <cfRule type="cellIs" dxfId="76" priority="10874" stopIfTrue="1" operator="notEqual">
      <formula>0</formula>
    </cfRule>
  </conditionalFormatting>
  <conditionalFormatting sqref="O833:O847">
    <cfRule type="expression" dxfId="75" priority="10875" stopIfTrue="1">
      <formula>OR($O$833="F/S",$O$833="")</formula>
    </cfRule>
    <cfRule type="cellIs" dxfId="74" priority="10876" stopIfTrue="1" operator="notEqual">
      <formula>0</formula>
    </cfRule>
  </conditionalFormatting>
  <conditionalFormatting sqref="I833">
    <cfRule type="expression" dxfId="73" priority="19" stopIfTrue="1">
      <formula>$I833="适用"</formula>
    </cfRule>
    <cfRule type="expression" dxfId="72" priority="20" stopIfTrue="1">
      <formula>$I833="不适用"</formula>
    </cfRule>
  </conditionalFormatting>
  <conditionalFormatting sqref="Q833:Q847">
    <cfRule type="expression" dxfId="71" priority="18" stopIfTrue="1">
      <formula>$Q833="请输入"</formula>
    </cfRule>
  </conditionalFormatting>
  <conditionalFormatting sqref="G711:G719">
    <cfRule type="expression" dxfId="70" priority="10892">
      <formula>$D711&gt;1</formula>
    </cfRule>
    <cfRule type="expression" dxfId="69" priority="10893">
      <formula>$C711="%IN"</formula>
    </cfRule>
    <cfRule type="expression" dxfId="68" priority="10894" stopIfTrue="1">
      <formula>$E711=0</formula>
    </cfRule>
  </conditionalFormatting>
  <conditionalFormatting sqref="G726:G731">
    <cfRule type="expression" dxfId="67" priority="10895">
      <formula>$D726&gt;1</formula>
    </cfRule>
    <cfRule type="expression" dxfId="66" priority="10896">
      <formula>$C726="%IN"</formula>
    </cfRule>
    <cfRule type="expression" dxfId="65" priority="10897" stopIfTrue="1">
      <formula>$E726=0</formula>
    </cfRule>
  </conditionalFormatting>
  <conditionalFormatting sqref="G745:G753">
    <cfRule type="expression" dxfId="64" priority="10898">
      <formula>$D745&gt;1</formula>
    </cfRule>
    <cfRule type="expression" dxfId="63" priority="10899">
      <formula>$C745="%IN"</formula>
    </cfRule>
    <cfRule type="expression" dxfId="62" priority="10900" stopIfTrue="1">
      <formula>$E745=0</formula>
    </cfRule>
  </conditionalFormatting>
  <conditionalFormatting sqref="G767:G775">
    <cfRule type="expression" dxfId="61" priority="10901">
      <formula>$D767&gt;1</formula>
    </cfRule>
    <cfRule type="expression" dxfId="60" priority="10902">
      <formula>$C767="%IN"</formula>
    </cfRule>
    <cfRule type="expression" dxfId="59" priority="10903" stopIfTrue="1">
      <formula>$E767=0</formula>
    </cfRule>
  </conditionalFormatting>
  <conditionalFormatting sqref="G782:G790">
    <cfRule type="expression" dxfId="58" priority="10904">
      <formula>$D782&gt;1</formula>
    </cfRule>
    <cfRule type="expression" dxfId="57" priority="10905">
      <formula>$C782="%IN"</formula>
    </cfRule>
    <cfRule type="expression" dxfId="56" priority="10906" stopIfTrue="1">
      <formula>$E782=0</formula>
    </cfRule>
  </conditionalFormatting>
  <conditionalFormatting sqref="G797:G802">
    <cfRule type="expression" dxfId="55" priority="10907">
      <formula>$D797&gt;1</formula>
    </cfRule>
    <cfRule type="expression" dxfId="54" priority="10908">
      <formula>$C797="%IN"</formula>
    </cfRule>
    <cfRule type="expression" dxfId="53" priority="10909" stopIfTrue="1">
      <formula>$E797=0</formula>
    </cfRule>
  </conditionalFormatting>
  <conditionalFormatting sqref="G816:G824">
    <cfRule type="expression" dxfId="52" priority="10910">
      <formula>$D816&gt;1</formula>
    </cfRule>
    <cfRule type="expression" dxfId="51" priority="10911">
      <formula>$C816="%IN"</formula>
    </cfRule>
    <cfRule type="expression" dxfId="50" priority="10912" stopIfTrue="1">
      <formula>$E816=0</formula>
    </cfRule>
  </conditionalFormatting>
  <conditionalFormatting sqref="G838:G846">
    <cfRule type="expression" dxfId="49" priority="10913">
      <formula>$D838&gt;1</formula>
    </cfRule>
    <cfRule type="expression" dxfId="48" priority="10914">
      <formula>$C838="%IN"</formula>
    </cfRule>
    <cfRule type="expression" dxfId="47" priority="10915" stopIfTrue="1">
      <formula>$E838=0</formula>
    </cfRule>
  </conditionalFormatting>
  <conditionalFormatting sqref="J736">
    <cfRule type="expression" dxfId="46" priority="10916">
      <formula>AND(J$736&lt;&gt;0,J$736&lt;&gt;"")</formula>
    </cfRule>
    <cfRule type="expression" dxfId="45" priority="10917" stopIfTrue="1">
      <formula>J$737&lt;&gt;"√"</formula>
    </cfRule>
  </conditionalFormatting>
  <conditionalFormatting sqref="K738">
    <cfRule type="expression" dxfId="44" priority="10918">
      <formula>AND($K$738&lt;&gt;0,$K$738&lt;&gt;"")</formula>
    </cfRule>
    <cfRule type="expression" dxfId="43" priority="10919" stopIfTrue="1">
      <formula>$L$738&lt;&gt;"√"</formula>
    </cfRule>
  </conditionalFormatting>
  <conditionalFormatting sqref="J758">
    <cfRule type="expression" dxfId="42" priority="10920">
      <formula>AND(J$758&lt;&gt;0,J$758&lt;&gt;"")</formula>
    </cfRule>
    <cfRule type="expression" dxfId="41" priority="10921" stopIfTrue="1">
      <formula>J$759&lt;&gt;"√"</formula>
    </cfRule>
  </conditionalFormatting>
  <conditionalFormatting sqref="K760">
    <cfRule type="expression" dxfId="40" priority="10922">
      <formula>AND($K$760&lt;&gt;0,$K$760&lt;&gt;"")</formula>
    </cfRule>
    <cfRule type="expression" dxfId="39" priority="10923" stopIfTrue="1">
      <formula>$L$760&lt;&gt;"√"</formula>
    </cfRule>
  </conditionalFormatting>
  <conditionalFormatting sqref="J807">
    <cfRule type="expression" dxfId="38" priority="10924">
      <formula>AND(J$807&lt;&gt;0,J$807&lt;&gt;"")</formula>
    </cfRule>
    <cfRule type="expression" dxfId="37" priority="10925" stopIfTrue="1">
      <formula>J$808&lt;&gt;"√"</formula>
    </cfRule>
  </conditionalFormatting>
  <conditionalFormatting sqref="K809">
    <cfRule type="expression" dxfId="36" priority="10926">
      <formula>AND($K$809&lt;&gt;0,$K$809&lt;&gt;"")</formula>
    </cfRule>
    <cfRule type="expression" dxfId="35" priority="10927" stopIfTrue="1">
      <formula>$L$809&lt;&gt;"√"</formula>
    </cfRule>
  </conditionalFormatting>
  <conditionalFormatting sqref="J829">
    <cfRule type="expression" dxfId="34" priority="10928">
      <formula>AND(J$829&lt;&gt;0,J$829&lt;&gt;"")</formula>
    </cfRule>
    <cfRule type="expression" dxfId="33" priority="10929" stopIfTrue="1">
      <formula>J$830&lt;&gt;"√"</formula>
    </cfRule>
  </conditionalFormatting>
  <conditionalFormatting sqref="K831">
    <cfRule type="expression" dxfId="32" priority="10930">
      <formula>AND($K$831&lt;&gt;0,$K$831&lt;&gt;"")</formula>
    </cfRule>
    <cfRule type="expression" dxfId="31" priority="10931" stopIfTrue="1">
      <formula>$L$831&lt;&gt;"√"</formula>
    </cfRule>
  </conditionalFormatting>
  <conditionalFormatting sqref="G1966:G1969">
    <cfRule type="expression" dxfId="30" priority="10932">
      <formula>$D1966&gt;1</formula>
    </cfRule>
    <cfRule type="expression" dxfId="29" priority="10933">
      <formula>$C1966="%IN"</formula>
    </cfRule>
    <cfRule type="expression" dxfId="28" priority="10934" stopIfTrue="1">
      <formula>$E1966=0</formula>
    </cfRule>
  </conditionalFormatting>
  <conditionalFormatting sqref="G2066:G2070">
    <cfRule type="expression" dxfId="27" priority="10935">
      <formula>$D2066&gt;1</formula>
    </cfRule>
    <cfRule type="expression" dxfId="26" priority="10936">
      <formula>$C2066="%IN"</formula>
    </cfRule>
    <cfRule type="expression" dxfId="25" priority="10937" stopIfTrue="1">
      <formula>$E2066=0</formula>
    </cfRule>
  </conditionalFormatting>
  <conditionalFormatting sqref="G2082:G2090">
    <cfRule type="expression" dxfId="24" priority="10938">
      <formula>$D2082&gt;1</formula>
    </cfRule>
    <cfRule type="expression" dxfId="23" priority="10939">
      <formula>$C2082="%IN"</formula>
    </cfRule>
    <cfRule type="expression" dxfId="22" priority="10940" stopIfTrue="1">
      <formula>$E2082=0</formula>
    </cfRule>
  </conditionalFormatting>
  <conditionalFormatting sqref="G2095:G2103">
    <cfRule type="expression" dxfId="21" priority="10941">
      <formula>$D2095&gt;1</formula>
    </cfRule>
    <cfRule type="expression" dxfId="20" priority="10942">
      <formula>$C2095="%IN"</formula>
    </cfRule>
    <cfRule type="expression" dxfId="19" priority="10943" stopIfTrue="1">
      <formula>$E2095=0</formula>
    </cfRule>
  </conditionalFormatting>
  <conditionalFormatting sqref="G2108:G2116">
    <cfRule type="expression" dxfId="18" priority="10944">
      <formula>$D2108&gt;1</formula>
    </cfRule>
    <cfRule type="expression" dxfId="17" priority="10945">
      <formula>$C2108="%IN"</formula>
    </cfRule>
    <cfRule type="expression" dxfId="16" priority="10946" stopIfTrue="1">
      <formula>$E2108=0</formula>
    </cfRule>
  </conditionalFormatting>
  <conditionalFormatting sqref="N2133">
    <cfRule type="expression" dxfId="15" priority="10947">
      <formula>AND(N$2133&lt;&gt;0,N$2133&lt;&gt;"")</formula>
    </cfRule>
    <cfRule type="expression" dxfId="14" priority="10948" stopIfTrue="1">
      <formula>N$2134&lt;&gt;"√"</formula>
    </cfRule>
  </conditionalFormatting>
  <conditionalFormatting sqref="K2135">
    <cfRule type="expression" dxfId="13" priority="10949">
      <formula>AND($K$2135&lt;&gt;0,$K$2135&lt;&gt;"")</formula>
    </cfRule>
    <cfRule type="expression" dxfId="12" priority="10950" stopIfTrue="1">
      <formula>$L$2135&lt;&gt;"√"</formula>
    </cfRule>
  </conditionalFormatting>
  <conditionalFormatting sqref="I2075">
    <cfRule type="expression" dxfId="11" priority="10951">
      <formula>AND(I$2075&lt;&gt;0,I$2075&lt;&gt;"")</formula>
    </cfRule>
    <cfRule type="expression" dxfId="10" priority="10952" stopIfTrue="1">
      <formula>I$2076&lt;&gt;"√"</formula>
    </cfRule>
  </conditionalFormatting>
  <conditionalFormatting sqref="K2077">
    <cfRule type="expression" dxfId="9" priority="10953">
      <formula>AND($K$2077&lt;&gt;0,$K$2077&lt;&gt;"")</formula>
    </cfRule>
    <cfRule type="expression" dxfId="8" priority="10954" stopIfTrue="1">
      <formula>$L$2077&lt;&gt;"√"</formula>
    </cfRule>
  </conditionalFormatting>
  <conditionalFormatting sqref="S3:S4 S7">
    <cfRule type="containsText" dxfId="7" priority="7" stopIfTrue="1" operator="containsText" text="删除">
      <formula>NOT(ISERROR(SEARCH("删除",S3)))</formula>
    </cfRule>
    <cfRule type="containsText" dxfId="6" priority="8" stopIfTrue="1" operator="containsText" text="修改">
      <formula>NOT(ISERROR(SEARCH("修改",S3)))</formula>
    </cfRule>
    <cfRule type="containsText" dxfId="5" priority="9" stopIfTrue="1" operator="containsText" text="新增">
      <formula>NOT(ISERROR(SEARCH("新增",S3)))</formula>
    </cfRule>
  </conditionalFormatting>
  <conditionalFormatting sqref="G4785">
    <cfRule type="expression" dxfId="4" priority="1">
      <formula>$D4785&gt;1</formula>
    </cfRule>
    <cfRule type="expression" dxfId="3" priority="2">
      <formula>$C4785="%IN"</formula>
    </cfRule>
    <cfRule type="expression" dxfId="2" priority="3" stopIfTrue="1">
      <formula>$E4785=0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5:I5901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I2066:I2070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4:K5621 H5851:H5857 H5800:M5804 J5867:K5867 M5662:M5668 I5672:J5678 I5682:J5688 H5702:H5708 H5722:H5728 H5752:M5761 I5765:J5774 H6173:H6185 I5906:I5912 H6191:J6197 I6012:I6019 I5950:I5956 I5928:I5934 I5873:I5879 H5554:H5558 H5567:H5568 H5562:H5565 P5639:P5648 H5570 M5553:M5558 H5692:H5698 H5712:H5718 P5562:P5576 H5732:J5738 H5572:H5576 P5765:P5774 M5765:M5774 P5626:P5635 M5626:M5635 I5698:J5698 P5553:P5558 M5639:M5648 H5746:J5746 M5562:M5576 I5718:J5718 P5752:P5761 H5861:H5867 I5626:J5635 H5742:I5745 H6097:H6106 I5639:J5648 H6218:J6226 K5837 I5847:K5847 H5779:I5796 J5857:K5857 H5841:H5847 M5652:M5658 H6111:H6116 H6121:H6125 H6130:H6136 H6141:H6145 H6150:J6154 H6159:J6163 H6246:H6250 H6059:H6063 I5939:I5945 I6036:I6053 I6024:I6031 I6001:I6007 I5980:I5996 I5961:I5975 I5917:I5923 H6228:J6241 H6199:J6212 I5884:I5890 H6088:H6092 H6079:H6083 H6068:H6074 H6168:H6171 I5823:I5837 I5809:I5821 H5809:H5822 H5824:H5837 H5403:I5406 H5398:I5401 H5393:I5396 J5259:J5262 J5264:J5267 H5269:H5275 H5244:H5247 H5249:H5252 H5254:H5257 H5259:H5262 H5264:H5267 K5275 H5310:H5319 P5310:P5319 M5310:M5319 J5310:J5319 J5297:K5306 H5297:H5306 H4272:H4277 P5297:P5306 H5282:H5291 J5282:K5291 I4272:L4278 M4272:M4277 J5269:J5275 J5244:J5247 J5249:J5252 J5254:J5257 K5427:K5454 P5426:P5454 H5360:M5370 H5343:M5354 H5376:M5386 H5326:M5337 L5426:M5454 H5447:I5454 P5343:P5354 P5326:P5337 H5427:I5430 H5432:I5435 H5437:I5440 H5442:I5445 P5386 H5408:I5411 H5413:I5420 P5370 H5508:K5540 H5542:K5549 H5462:K5492 H5494:K5501 J5239:J5242 H4728:I4735 H5177:H5183 H5090:I5096 H5079:I5085 H5068:I5074 H5057:I5063 H5041:I5052 H5025:I5036 H5013:L5019 H5003:N5009 H4949:J4957 H4931:I4937 H4452:K4455 H4853:I4862 H4427:M4436 P4411 H4397:N4411 H4416:K4422 H4477:H4484 H4460:I4473 H4384:H4391 M4493:M4497 M4826:M4835 P4394 P4427:P4436 P4493:P4497 P4826:P4835 H4753:I4764 H4440:K4447 I4834:I4835 H4354:K4358 I4819:I4820 H4840:I4849 H4372:H4374 H4811:H4820 H4804:H4805 I4804:I4811 K4372:P4383 H4377:H4380 I4372:J4391 K4386:P4391 H4717:I4723 H4697:I4713 H4686:I4692 H4655:I4661 H4636:I4651 H4625:I4631 H4615:I4621 H4600:H4611 H4585:H4596 H4568:K4574 H4545:K4555 H4521:K4532 H4510:I4515 H4501:I4506 H4493:K4497 H5239:H5242 H4768:I4774 H5161:I5173 H5132:I5137 J4826:J4835 H5151:H5157 H5141:H5147 I5157 I5147 H5101:I5120 H5124:I5128 I4875:I4876 H4666:I4682 H4826:H4835 H4918:J4927 H4962:I4966 H4363:K4365 P4867:P4876 H4867:H4876 J4867:J4876 I4881:I4898 H4882 H4885:H4898 H4989:I4999 H4970:I4984 H5199:H5208 J5208:K5208 H4739:I4748 J5229:J5232 J5224:J5227 H5214:H5217 H5229:H5232 H5224:H5227 H5219:H5222 J5194:K5194 H5188:H5194 J5214:J5217 J5219:J5222 H2199:H2200 M5298:M5306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4779:I4790">
      <formula1>-922337203685477</formula1>
      <formula2>922337203685477</formula2>
    </dataValidation>
    <dataValidation type="list" allowBlank="1" showErrorMessage="1" sqref="I6243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2 I4233 I4247 I4261 I4269 I4287 I4297 I4308 I4317 I4330 I4340 I4222 I4213 I4096 I4107 I4118 I4136 I4147 I4157 I4168 I4178 I4198 I4074 I4084 I5797 I5550 I5559 I5577 I5603 I5747 I5729 I5709 I5689 I5669 I5649 I5623 I5776 I5636 I5659 I5679 I5699 I5719 I5739 I5762 I5806 I5838 I5848 I5858 I5870 I5881 I5892 I5903 I5914 I5925 I5936 I5947 I5958 I5977 I5998 I6009 I6021 I6033 I6056 I6065 I6076 I6085 I6094 I6108 I6118 I6127 I6138 I6147 I6156 I6165 I6187 I6214 I5307 I5292 I5277 I5421 I5387 I5371 I5355 I5338 I5321 I5456 I4837 I4351 I4360 I4367 I4392 I4413 I4424 I4437 I4449 I4457 I4474 I4488 I4498 I4507 I4516 I4540 I4563 I4582 I4597 I4612 I4622 I4633 I4652 I4663 I4683 I4694 I4714 I4725 I4750 I4765 I4776 I4801 I4823 I4850 I5174 I5158 I5148 I5138 I5129 I5098 I5087 I5076 I5065 I5054 I5038 I5022 I5010 I5000 I4986 I4967 I4959 I4946 I4928 I4915 I4900 I4878 I4864 I5121 I5210 I5196 I5185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7:K6227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6:K5606 H5571:K5571 H5569:K5569 H5566:K5566 H6172:K6172 H5553:J5553 H5595:R5596 H5591:R5591 H5582:R5582 H5613:K5613 H6217:K6217 H6190:K6190 H6198:K6198 H5268:J5268 H5263:J5263 H5258:J5258 H5253:J5253 H5248:J5248 H5402:J5402 H5397:J5397 H5392:J5392 H5426:J5426 H5431:J5431 H5436:J5436 H5441:J5441 H5446:J5446 H5412:J5412 H5407:J5407 H5541:K5541 H5507:K5507 H5493:K5493 H5461:K5461 H5243:J5243 H5228:J5228 H5218:J5218 H5223:J5223 H5213:J5213 H5238:J5238 I5233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3 H1952:J1955 I1793:I1794 H2162:J2168 H3412:H3417 H4881 H4806:H4810 K4384:P4385 H4883:H4884 J2194:J2198 H2194:H2198 H5233:H5237 J5233:J5237 H101:H105 H94:H99">
      <formula1>"—"</formula1>
    </dataValidation>
    <dataValidation type="list" showDropDown="1" showErrorMessage="1" errorTitle="REAL" error="该单元格不能填写，显示为‘—’。" prompt="如已执行新金融准则，则该单元格不能填写，显示为‘—’" sqref="I5822 J1935 H1936:I1936 H1937 I1934:J1934 H2035:H2044 H2046 L2053:O2061 J3246:K3246 H4375:H4376 H4381:H4383 H853:H855 I701:I703">
      <formula1>"—"</formula1>
    </dataValidation>
    <dataValidation type="decimal" allowBlank="1" showInputMessage="1" showErrorMessage="1" errorTitle="WPE" error="请输入数值！" sqref="I5178:I5183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7:I4874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2:I4818 I4826:I4833">
      <formula1>"—"</formula1>
    </dataValidation>
    <dataValidation type="list" allowBlank="1" showInputMessage="1" showErrorMessage="1" sqref="L4943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2:I4942 H4797 L4798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3" location="Notes!G7" display="^"/>
    <hyperlink ref="O24" location="Notes!NOTE_1704a" display="Notes!NOTE_1704a"/>
    <hyperlink ref="O1639" location="Notes!NOTE_1400a" display="Notes!NOTE_1400a"/>
    <hyperlink ref="K4867" location="Notes!NOTE_1121i" display="Notes!NOTE_1121i"/>
    <hyperlink ref="K4868" location="Notes!NOTE_1122u" display="Notes!NOTE_1122u"/>
    <hyperlink ref="K4869" location="Notes!NOTE_1221y" display="Notes!NOTE_1221y"/>
    <hyperlink ref="K4870" location="Notes!NOTE_1124f" display="Notes!NOTE_1124f"/>
    <hyperlink ref="K4871" location="Notes!NOTE_1505k" display="Notes!NOTE_1505k"/>
    <hyperlink ref="K4872" location="Notes!NOTE_1508k" display="Notes!NOTE_1508k"/>
    <hyperlink ref="K4873" location="Notes!NOTE_1531g" display="Notes!NOTE_1531g"/>
    <hyperlink ref="K4882" location="Notes!NOTE_1400b" display="Notes!NOTE_1400b"/>
    <hyperlink ref="K4885" location="Notes!NOTE_1511b" display="Notes!NOTE_1511b"/>
    <hyperlink ref="K4886" location="Notes!NOTE_1521h" display="Notes!NOTE_1521h"/>
    <hyperlink ref="K4887" location="Notes!NOTE_1601k" display="Notes!NOTE_1601k"/>
    <hyperlink ref="K4888" location="Notes!NOTE_1605a" display="Notes!NOTE_1605a"/>
    <hyperlink ref="K4889" location="Notes!NOTE_1604g" display="Notes!NOTE_1604g"/>
    <hyperlink ref="K4890" location="Notes!NOTE_1621c" display="Notes!NOTE_1621c"/>
    <hyperlink ref="K4891" location="Notes!NOTE_1631b" display="Notes!NOTE_1631b"/>
    <hyperlink ref="K4892" location="Notes!NOTE_1701a" display="Notes!NOTE_1701a"/>
    <hyperlink ref="K4893" location="Notes!NOTE_1711b" display="Notes!NOTE_1711b"/>
    <hyperlink ref="K4894"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3" location="Notes!NOTE_1015a" display="Notes!NOTE_1015a"/>
    <hyperlink ref="K5218" location="Notes!NOTE_1121m" display="Notes!NOTE_1121m"/>
    <hyperlink ref="K5223" location="Notes!NOTE_1122c" display="Notes!NOTE_1122c"/>
    <hyperlink ref="K5228" location="Notes!NOTE_1221c" display="Notes!NOTE_1221c"/>
    <hyperlink ref="K5233" location="Notes!NOTE_1501f" display="Notes!NOTE_1501f"/>
    <hyperlink ref="K5238" location="Notes!NOTE_1531f" display="Notes!NOTE_1531f"/>
    <hyperlink ref="K5253" location="Notes!NOTE_2001c" display="Notes!NOTE_2001c"/>
    <hyperlink ref="K5243" location="Notes!NOTE_2202d" display="Notes!NOTE_2202d"/>
    <hyperlink ref="K5248" location="Notes!NOTE_2241g" display="Notes!NOTE_2241g"/>
    <hyperlink ref="K5263" location="Notes!NOTE_2501c" display="Notes!NOTE_2501c"/>
    <hyperlink ref="K5258" location="Notes!NOTE_2502e" display="Notes!NOTE_2502e"/>
    <hyperlink ref="K5268"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2" location="Notes!NOTE_2401b" display="Notes!NOTE_2401b"/>
    <hyperlink ref="N5297" location="Notes!NOTE_2401b" display="Notes!NOTE_2401b"/>
    <hyperlink ref="N4636" location="Notes!NOTE_2221a" display="Notes!NOTE_2221a"/>
    <hyperlink ref="N4779" location="Notes!NOTE_9371h" display="Notes!NOTE_9371h"/>
    <hyperlink ref="N4780" location="Notes!NOTE_9371i" display="Notes!NOTE_9371i"/>
    <hyperlink ref="K4793" location="Notes!NOTE_2401b" display="Notes!NOTE_2401b"/>
    <hyperlink ref="L4804" location="Notes!NOTE_1511b" display="Notes!NOTE_1511b"/>
    <hyperlink ref="K4939" location="Notes!NOTE_6710a" display="Notes!NOTE_6710a"/>
    <hyperlink ref="L4931" location="Notes!NOTE_9371h" display="Notes!NOTE_9371h"/>
    <hyperlink ref="L4932" location="Notes!NOTE_9371i" display="Notes!NOTE_9371i"/>
    <hyperlink ref="N5283" location="Notes!NOTE_6710b" display="Notes!NOTE_6710b"/>
    <hyperlink ref="N5298" location="Notes!NOTE_6710b" display="Notes!NOTE_6710b"/>
    <hyperlink ref="M4962"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北京鼎竑信息技术有限公司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北京鼎竑信息技术有限公司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6643</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6644</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43861.471504629597</v>
      </c>
    </row>
    <row r="16" spans="1:28">
      <c r="L16" s="2806" t="s">
        <v>4969</v>
      </c>
      <c r="M16" s="2806" t="s">
        <v>6656</v>
      </c>
    </row>
    <row r="17" spans="12:13">
      <c r="L17" s="2806" t="s">
        <v>4970</v>
      </c>
    </row>
    <row r="18" spans="12:13">
      <c r="L18" s="2806" t="s">
        <v>4971</v>
      </c>
    </row>
    <row r="19" spans="12:13">
      <c r="L19" s="2806" t="s">
        <v>4972</v>
      </c>
      <c r="M19" s="2806" t="s">
        <v>6645</v>
      </c>
    </row>
    <row r="20" spans="12:13">
      <c r="L20" s="2806" t="s">
        <v>4973</v>
      </c>
      <c r="M20" s="2806" t="s">
        <v>6646</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6647</v>
      </c>
    </row>
    <row r="25" spans="12:13">
      <c r="L25" s="2806" t="s">
        <v>4978</v>
      </c>
    </row>
    <row r="26" spans="12:13">
      <c r="L26" s="2806" t="s">
        <v>4979</v>
      </c>
      <c r="M26" s="2806" t="s">
        <v>6796</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6608</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6648</v>
      </c>
    </row>
  </sheetData>
  <sheetProtection algorithmName="SHA-512" hashValue="tyWRB+0s2vMeSg+42RBHrD4npNrJ63GPWkb3c//lXYPh1tN9h7xGiiGwrpAIdub+mxbk6xAl20WBHmVy5uT6lA==" saltValue="EYuLfFd8dAsKZ5TJX2iKXw=="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topLeftCell="A16" workbookViewId="0">
      <selection activeCell="K104" sqref="K104"/>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北京鼎竑信息技术有限公司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799162.6</v>
      </c>
      <c r="E13" s="152">
        <f>IF(D$55=0,"",D13/D$55)</f>
        <v>9.6600000000000005E-2</v>
      </c>
      <c r="F13" s="70">
        <f t="shared" ref="F13:F27" si="3">VLOOKUP($B13,Sheet_Trialbal,3,0)</f>
        <v>0</v>
      </c>
      <c r="G13" s="152" t="str">
        <f>IF(F$55=0,"",F13/F$55)</f>
        <v/>
      </c>
      <c r="H13" s="152" t="str">
        <f t="shared" ref="H13:H30" si="4">IF(OR(G13="",E13=""),"",G13-E13)</f>
        <v/>
      </c>
      <c r="I13" s="70">
        <f t="shared" ref="I13" si="5">IF(OR(F13="",D13=""),"",F13-D13)</f>
        <v>-799162.6</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36">
      <c r="A18" s="30"/>
      <c r="B18" s="150">
        <v>1122</v>
      </c>
      <c r="C18" s="151" t="str">
        <f t="shared" si="0"/>
        <v>应收账款</v>
      </c>
      <c r="D18" s="70">
        <f t="shared" si="2"/>
        <v>5191249.5199999996</v>
      </c>
      <c r="E18" s="152">
        <f t="shared" si="6"/>
        <v>0.62780000000000002</v>
      </c>
      <c r="F18" s="70">
        <f t="shared" si="3"/>
        <v>0</v>
      </c>
      <c r="G18" s="152" t="str">
        <f t="shared" si="7"/>
        <v/>
      </c>
      <c r="H18" s="152" t="str">
        <f t="shared" si="8"/>
        <v/>
      </c>
      <c r="I18" s="70">
        <f t="shared" si="9"/>
        <v>-5191249.5199999996</v>
      </c>
      <c r="J18" s="152">
        <f t="shared" si="10"/>
        <v>-1</v>
      </c>
      <c r="K18" s="3102" t="s">
        <v>6816</v>
      </c>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t="str">
        <f t="shared" si="7"/>
        <v/>
      </c>
      <c r="H20" s="152" t="str">
        <f t="shared" si="8"/>
        <v/>
      </c>
      <c r="I20" s="70">
        <f t="shared" si="9"/>
        <v>0</v>
      </c>
      <c r="J20" s="152" t="str">
        <f t="shared" si="10"/>
        <v/>
      </c>
      <c r="K20" s="163"/>
    </row>
    <row r="21" spans="1:11" ht="18">
      <c r="A21" s="30"/>
      <c r="B21" s="150">
        <v>1220</v>
      </c>
      <c r="C21" s="151" t="str">
        <f>IF($B21="","",VLOOKUP($B21,Sheet_Items,2,0))</f>
        <v>其他应收款（报表项目）</v>
      </c>
      <c r="D21" s="70">
        <f t="shared" si="2"/>
        <v>70022.3</v>
      </c>
      <c r="E21" s="152">
        <f t="shared" si="6"/>
        <v>8.5000000000000006E-3</v>
      </c>
      <c r="F21" s="70">
        <f t="shared" si="3"/>
        <v>0</v>
      </c>
      <c r="G21" s="152" t="str">
        <f t="shared" si="7"/>
        <v/>
      </c>
      <c r="H21" s="152" t="str">
        <f t="shared" si="8"/>
        <v/>
      </c>
      <c r="I21" s="70">
        <f t="shared" si="9"/>
        <v>-70022.3</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6060434.4199999999</v>
      </c>
      <c r="E28" s="154">
        <f>SUM(E13:E27)-SUM(E22,E23)</f>
        <v>0.73</v>
      </c>
      <c r="F28" s="154">
        <f t="shared" ref="F28:I28" si="11">SUM(F13:F27)-SUM(F22,F23)</f>
        <v>0</v>
      </c>
      <c r="G28" s="154">
        <f t="shared" si="11"/>
        <v>0</v>
      </c>
      <c r="H28" s="154">
        <f t="shared" si="11"/>
        <v>0</v>
      </c>
      <c r="I28" s="154">
        <f t="shared" si="11"/>
        <v>-6060434.4199999999</v>
      </c>
      <c r="J28" s="152">
        <f t="shared" si="10"/>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t="str">
        <f>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t="str">
        <f t="shared" ref="G31:G53" si="16">IF(F$55=0,"",F31/F$55)</f>
        <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t="str">
        <f t="shared" si="16"/>
        <v/>
      </c>
      <c r="H32" s="152" t="str">
        <f t="shared" si="17"/>
        <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t="str">
        <f t="shared" si="16"/>
        <v/>
      </c>
      <c r="H33" s="152" t="str">
        <f t="shared" si="17"/>
        <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t="str">
        <f t="shared" si="16"/>
        <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t="str">
        <f t="shared" si="16"/>
        <v/>
      </c>
      <c r="H35" s="152" t="str">
        <f t="shared" si="17"/>
        <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t="str">
        <f t="shared" si="16"/>
        <v/>
      </c>
      <c r="H36" s="152" t="str">
        <f t="shared" si="17"/>
        <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t="str">
        <f t="shared" si="16"/>
        <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t="str">
        <f t="shared" si="16"/>
        <v/>
      </c>
      <c r="H38" s="152" t="str">
        <f t="shared" si="17"/>
        <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t="str">
        <f t="shared" si="16"/>
        <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2260.42</v>
      </c>
      <c r="E40" s="152">
        <f t="shared" si="15"/>
        <v>2.9999999999999997E-4</v>
      </c>
      <c r="F40" s="70">
        <f t="shared" si="14"/>
        <v>0</v>
      </c>
      <c r="G40" s="152" t="str">
        <f t="shared" si="16"/>
        <v/>
      </c>
      <c r="H40" s="152" t="str">
        <f t="shared" si="17"/>
        <v/>
      </c>
      <c r="I40" s="70">
        <f t="shared" si="18"/>
        <v>-2260.42</v>
      </c>
      <c r="J40" s="152">
        <f t="shared" si="19"/>
        <v>-1</v>
      </c>
      <c r="K40" s="163"/>
    </row>
    <row r="41" spans="1:11" ht="18">
      <c r="A41" s="30"/>
      <c r="B41" s="150">
        <v>1601</v>
      </c>
      <c r="C41" s="151" t="str">
        <f t="shared" si="0"/>
        <v>其中：固定资产</v>
      </c>
      <c r="D41" s="70">
        <f t="shared" si="13"/>
        <v>2260.42</v>
      </c>
      <c r="E41" s="152">
        <f t="shared" si="15"/>
        <v>2.9999999999999997E-4</v>
      </c>
      <c r="F41" s="70">
        <f t="shared" si="14"/>
        <v>0</v>
      </c>
      <c r="G41" s="152" t="str">
        <f t="shared" si="16"/>
        <v/>
      </c>
      <c r="H41" s="152" t="str">
        <f t="shared" si="17"/>
        <v/>
      </c>
      <c r="I41" s="70">
        <f t="shared" si="18"/>
        <v>-2260.42</v>
      </c>
      <c r="J41" s="152">
        <f t="shared" si="19"/>
        <v>-1</v>
      </c>
      <c r="K41" s="163"/>
    </row>
    <row r="42" spans="1:11" ht="18">
      <c r="A42" s="30"/>
      <c r="B42" s="150">
        <v>1606</v>
      </c>
      <c r="C42" s="151" t="str">
        <f>IF($B42="","",VLOOKUP($B42,Sheet_Items,6,0))</f>
        <v>固定资产清理</v>
      </c>
      <c r="D42" s="70">
        <f t="shared" si="13"/>
        <v>0</v>
      </c>
      <c r="E42" s="152">
        <f t="shared" si="15"/>
        <v>0</v>
      </c>
      <c r="F42" s="70">
        <f t="shared" si="14"/>
        <v>0</v>
      </c>
      <c r="G42" s="152" t="str">
        <f t="shared" si="16"/>
        <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t="str">
        <f t="shared" si="16"/>
        <v/>
      </c>
      <c r="H43" s="152" t="str">
        <f t="shared" si="17"/>
        <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t="str">
        <f t="shared" si="16"/>
        <v/>
      </c>
      <c r="H44" s="152" t="str">
        <f t="shared" si="17"/>
        <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t="str">
        <f t="shared" si="16"/>
        <v/>
      </c>
      <c r="H45" s="152" t="str">
        <f t="shared" si="17"/>
        <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t="str">
        <f t="shared" si="16"/>
        <v/>
      </c>
      <c r="H46" s="152" t="str">
        <f t="shared" si="17"/>
        <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t="str">
        <f t="shared" si="16"/>
        <v/>
      </c>
      <c r="H47" s="152" t="str">
        <f t="shared" si="17"/>
        <v/>
      </c>
      <c r="I47" s="70">
        <f t="shared" si="18"/>
        <v>0</v>
      </c>
      <c r="J47" s="152" t="str">
        <f t="shared" si="19"/>
        <v/>
      </c>
      <c r="K47" s="163"/>
    </row>
    <row r="48" spans="1:11" ht="36">
      <c r="A48" s="30"/>
      <c r="B48" s="150">
        <v>1701</v>
      </c>
      <c r="C48" s="151" t="str">
        <f t="shared" si="0"/>
        <v>无形资产</v>
      </c>
      <c r="D48" s="70">
        <f t="shared" si="13"/>
        <v>0</v>
      </c>
      <c r="E48" s="152">
        <f t="shared" si="15"/>
        <v>0</v>
      </c>
      <c r="F48" s="70">
        <f t="shared" si="14"/>
        <v>0</v>
      </c>
      <c r="G48" s="152" t="str">
        <f t="shared" si="16"/>
        <v/>
      </c>
      <c r="H48" s="152" t="str">
        <f t="shared" si="17"/>
        <v/>
      </c>
      <c r="I48" s="70">
        <f t="shared" si="18"/>
        <v>0</v>
      </c>
      <c r="J48" s="152" t="str">
        <f t="shared" si="19"/>
        <v/>
      </c>
      <c r="K48" s="3102" t="s">
        <v>6817</v>
      </c>
    </row>
    <row r="49" spans="1:11" ht="18">
      <c r="A49" s="30"/>
      <c r="B49" s="150">
        <v>1700</v>
      </c>
      <c r="C49" s="151" t="str">
        <f t="shared" si="0"/>
        <v>开发支出</v>
      </c>
      <c r="D49" s="70">
        <f t="shared" si="13"/>
        <v>2185457.56</v>
      </c>
      <c r="E49" s="152">
        <f t="shared" si="15"/>
        <v>0.26429999999999998</v>
      </c>
      <c r="F49" s="70">
        <f t="shared" si="14"/>
        <v>0</v>
      </c>
      <c r="G49" s="152" t="str">
        <f t="shared" si="16"/>
        <v/>
      </c>
      <c r="H49" s="152" t="str">
        <f t="shared" si="17"/>
        <v/>
      </c>
      <c r="I49" s="70">
        <f t="shared" si="18"/>
        <v>-2185457.56</v>
      </c>
      <c r="J49" s="152">
        <f t="shared" si="19"/>
        <v>-1</v>
      </c>
      <c r="K49" s="163"/>
    </row>
    <row r="50" spans="1:11" ht="18">
      <c r="A50" s="30"/>
      <c r="B50" s="150">
        <v>1711</v>
      </c>
      <c r="C50" s="151" t="str">
        <f t="shared" si="0"/>
        <v>商誉</v>
      </c>
      <c r="D50" s="70">
        <f t="shared" si="13"/>
        <v>0</v>
      </c>
      <c r="E50" s="152">
        <f t="shared" si="15"/>
        <v>0</v>
      </c>
      <c r="F50" s="70">
        <f t="shared" si="14"/>
        <v>0</v>
      </c>
      <c r="G50" s="152" t="str">
        <f t="shared" si="16"/>
        <v/>
      </c>
      <c r="H50" s="152" t="str">
        <f t="shared" si="17"/>
        <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t="str">
        <f t="shared" si="16"/>
        <v/>
      </c>
      <c r="H51" s="152" t="str">
        <f t="shared" si="17"/>
        <v/>
      </c>
      <c r="I51" s="70">
        <f t="shared" si="18"/>
        <v>0</v>
      </c>
      <c r="J51" s="152" t="str">
        <f t="shared" si="19"/>
        <v/>
      </c>
      <c r="K51" s="163"/>
    </row>
    <row r="52" spans="1:11" ht="18">
      <c r="A52" s="30"/>
      <c r="B52" s="150">
        <v>1811</v>
      </c>
      <c r="C52" s="151" t="str">
        <f t="shared" si="0"/>
        <v>递延所得税资产</v>
      </c>
      <c r="D52" s="70">
        <f t="shared" si="13"/>
        <v>20659.91</v>
      </c>
      <c r="E52" s="152">
        <f t="shared" si="15"/>
        <v>2.5000000000000001E-3</v>
      </c>
      <c r="F52" s="70">
        <f t="shared" si="14"/>
        <v>0</v>
      </c>
      <c r="G52" s="152" t="str">
        <f t="shared" si="16"/>
        <v/>
      </c>
      <c r="H52" s="152" t="str">
        <f t="shared" si="17"/>
        <v/>
      </c>
      <c r="I52" s="70">
        <f t="shared" si="18"/>
        <v>-20659.91</v>
      </c>
      <c r="J52" s="152">
        <f t="shared" si="19"/>
        <v>-1</v>
      </c>
      <c r="K52" s="163"/>
    </row>
    <row r="53" spans="1:11" ht="18">
      <c r="A53" s="30"/>
      <c r="B53" s="150">
        <v>1996</v>
      </c>
      <c r="C53" s="151" t="str">
        <f t="shared" si="0"/>
        <v>其他非流动资产</v>
      </c>
      <c r="D53" s="70">
        <f t="shared" si="13"/>
        <v>0</v>
      </c>
      <c r="E53" s="152">
        <f t="shared" si="15"/>
        <v>0</v>
      </c>
      <c r="F53" s="70">
        <f t="shared" si="14"/>
        <v>0</v>
      </c>
      <c r="G53" s="152" t="str">
        <f t="shared" si="16"/>
        <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2208377.89</v>
      </c>
      <c r="E54" s="156">
        <f t="shared" ref="E54:I54" si="21">SUM(E30:E53)-SUM(E41,E42,E44,E45)</f>
        <v>0.2671</v>
      </c>
      <c r="F54" s="154">
        <f t="shared" si="21"/>
        <v>0</v>
      </c>
      <c r="G54" s="156">
        <f t="shared" si="21"/>
        <v>0</v>
      </c>
      <c r="H54" s="156">
        <f t="shared" si="21"/>
        <v>0</v>
      </c>
      <c r="I54" s="154">
        <f t="shared" si="21"/>
        <v>-2208377.89</v>
      </c>
      <c r="J54" s="152">
        <f t="shared" si="1"/>
        <v>-1</v>
      </c>
      <c r="K54" s="163"/>
    </row>
    <row r="55" spans="1:11" ht="18">
      <c r="A55" s="30"/>
      <c r="B55" s="150">
        <v>1999</v>
      </c>
      <c r="C55" s="153" t="str">
        <f t="shared" si="20"/>
        <v>资产总计</v>
      </c>
      <c r="D55" s="154">
        <f t="shared" ref="D55:I55" si="22">SUM(D28,D54)</f>
        <v>8268812.3099999996</v>
      </c>
      <c r="E55" s="156">
        <f t="shared" si="22"/>
        <v>0.99709999999999999</v>
      </c>
      <c r="F55" s="154">
        <f t="shared" si="22"/>
        <v>0</v>
      </c>
      <c r="G55" s="156">
        <f t="shared" si="22"/>
        <v>0</v>
      </c>
      <c r="H55" s="156">
        <f t="shared" si="22"/>
        <v>0</v>
      </c>
      <c r="I55" s="154">
        <f t="shared" si="22"/>
        <v>-8268812.3099999996</v>
      </c>
      <c r="J55" s="155">
        <f t="shared" ref="J55:J93" si="23">IF(OR(I55="",D55="",D55=0),"",I55/D55)</f>
        <v>-1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t="str">
        <f>IF(F$85=0,"",F57/F$85)</f>
        <v/>
      </c>
      <c r="H57" s="152" t="str">
        <f t="shared" si="24"/>
        <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t="str">
        <f t="shared" ref="G58:G71" si="29">IF(F$85=0,"",F58/F$85)</f>
        <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t="str">
        <f t="shared" si="29"/>
        <v/>
      </c>
      <c r="H59" s="152" t="str">
        <f t="shared" si="30"/>
        <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t="str">
        <f t="shared" si="29"/>
        <v/>
      </c>
      <c r="H60" s="152" t="str">
        <f t="shared" si="30"/>
        <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t="str">
        <f t="shared" si="29"/>
        <v/>
      </c>
      <c r="H61" s="152" t="str">
        <f t="shared" si="30"/>
        <v/>
      </c>
      <c r="I61" s="70">
        <f t="shared" si="31"/>
        <v>0</v>
      </c>
      <c r="J61" s="152" t="str">
        <f t="shared" si="32"/>
        <v/>
      </c>
      <c r="K61" s="163"/>
    </row>
    <row r="62" spans="1:11" ht="18">
      <c r="A62" s="30"/>
      <c r="B62" s="150">
        <v>2202</v>
      </c>
      <c r="C62" s="151" t="str">
        <f t="shared" si="20"/>
        <v>应付账款</v>
      </c>
      <c r="D62" s="70">
        <f t="shared" si="26"/>
        <v>0</v>
      </c>
      <c r="E62" s="152">
        <f t="shared" si="28"/>
        <v>0</v>
      </c>
      <c r="F62" s="70">
        <f t="shared" si="27"/>
        <v>0</v>
      </c>
      <c r="G62" s="152" t="str">
        <f t="shared" si="29"/>
        <v/>
      </c>
      <c r="H62" s="152" t="str">
        <f t="shared" si="30"/>
        <v/>
      </c>
      <c r="I62" s="70">
        <f t="shared" si="31"/>
        <v>0</v>
      </c>
      <c r="J62" s="152" t="str">
        <f t="shared" si="32"/>
        <v/>
      </c>
      <c r="K62" s="163"/>
    </row>
    <row r="63" spans="1:11" ht="18">
      <c r="A63" s="30"/>
      <c r="B63" s="150">
        <v>2205</v>
      </c>
      <c r="C63" s="151" t="str">
        <f t="shared" si="20"/>
        <v>预收款项</v>
      </c>
      <c r="D63" s="70">
        <f t="shared" si="26"/>
        <v>214017.93</v>
      </c>
      <c r="E63" s="152">
        <f t="shared" si="28"/>
        <v>2.2100000000000002E-2</v>
      </c>
      <c r="F63" s="70">
        <f t="shared" si="27"/>
        <v>0</v>
      </c>
      <c r="G63" s="152" t="str">
        <f t="shared" si="29"/>
        <v/>
      </c>
      <c r="H63" s="152" t="str">
        <f t="shared" si="30"/>
        <v/>
      </c>
      <c r="I63" s="70">
        <f t="shared" si="31"/>
        <v>-214017.93</v>
      </c>
      <c r="J63" s="152">
        <f t="shared" si="32"/>
        <v>-1</v>
      </c>
      <c r="K63" s="163"/>
    </row>
    <row r="64" spans="1:11" ht="18">
      <c r="A64" s="30"/>
      <c r="B64" s="150">
        <v>2211</v>
      </c>
      <c r="C64" s="151" t="str">
        <f t="shared" si="20"/>
        <v>应付职工薪酬</v>
      </c>
      <c r="D64" s="70">
        <f t="shared" si="26"/>
        <v>1303107.67</v>
      </c>
      <c r="E64" s="152">
        <f t="shared" si="28"/>
        <v>0.1343</v>
      </c>
      <c r="F64" s="70">
        <f t="shared" si="27"/>
        <v>0</v>
      </c>
      <c r="G64" s="152" t="str">
        <f t="shared" si="29"/>
        <v/>
      </c>
      <c r="H64" s="152" t="str">
        <f t="shared" si="30"/>
        <v/>
      </c>
      <c r="I64" s="70">
        <f t="shared" si="31"/>
        <v>-1303107.67</v>
      </c>
      <c r="J64" s="152">
        <f t="shared" si="32"/>
        <v>-1</v>
      </c>
      <c r="K64" s="3102" t="s">
        <v>6818</v>
      </c>
    </row>
    <row r="65" spans="1:11" ht="18">
      <c r="A65" s="30"/>
      <c r="B65" s="150">
        <v>2221</v>
      </c>
      <c r="C65" s="151" t="str">
        <f t="shared" si="20"/>
        <v>应交税费</v>
      </c>
      <c r="D65" s="70">
        <f t="shared" si="26"/>
        <v>236130.57</v>
      </c>
      <c r="E65" s="152">
        <f t="shared" si="28"/>
        <v>2.4299999999999999E-2</v>
      </c>
      <c r="F65" s="70">
        <f t="shared" si="27"/>
        <v>0</v>
      </c>
      <c r="G65" s="152" t="str">
        <f t="shared" si="29"/>
        <v/>
      </c>
      <c r="H65" s="152" t="str">
        <f t="shared" si="30"/>
        <v/>
      </c>
      <c r="I65" s="70">
        <f t="shared" si="31"/>
        <v>-236130.57</v>
      </c>
      <c r="J65" s="152">
        <f t="shared" si="32"/>
        <v>-1</v>
      </c>
      <c r="K65" s="163"/>
    </row>
    <row r="66" spans="1:11" ht="18">
      <c r="A66" s="30"/>
      <c r="B66" s="150">
        <v>2246</v>
      </c>
      <c r="C66" s="151" t="str">
        <f>IF($B66="","",VLOOKUP($B66,Sheet_Items,2,0))</f>
        <v>其他应付款（报表项目）</v>
      </c>
      <c r="D66" s="70">
        <f t="shared" si="26"/>
        <v>7949525.4100000001</v>
      </c>
      <c r="E66" s="152">
        <f t="shared" si="28"/>
        <v>0.81930000000000003</v>
      </c>
      <c r="F66" s="70">
        <f t="shared" si="27"/>
        <v>0</v>
      </c>
      <c r="G66" s="152" t="str">
        <f t="shared" si="29"/>
        <v/>
      </c>
      <c r="H66" s="152" t="str">
        <f t="shared" si="30"/>
        <v/>
      </c>
      <c r="I66" s="70">
        <f t="shared" si="31"/>
        <v>-7949525.4100000001</v>
      </c>
      <c r="J66" s="152">
        <f t="shared" si="32"/>
        <v>-1</v>
      </c>
      <c r="K66" s="3102" t="s">
        <v>6819</v>
      </c>
    </row>
    <row r="67" spans="1:11" ht="18">
      <c r="A67" s="30"/>
      <c r="B67" s="150">
        <v>2231</v>
      </c>
      <c r="C67" s="151" t="str">
        <f t="shared" si="20"/>
        <v>其中：应付利息</v>
      </c>
      <c r="D67" s="70">
        <f t="shared" si="26"/>
        <v>0</v>
      </c>
      <c r="E67" s="152">
        <f t="shared" si="28"/>
        <v>0</v>
      </c>
      <c r="F67" s="70">
        <f t="shared" si="27"/>
        <v>0</v>
      </c>
      <c r="G67" s="152" t="str">
        <f t="shared" si="29"/>
        <v/>
      </c>
      <c r="H67" s="152" t="str">
        <f t="shared" si="30"/>
        <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t="str">
        <f t="shared" si="29"/>
        <v/>
      </c>
      <c r="H68" s="152" t="str">
        <f t="shared" si="30"/>
        <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t="str">
        <f t="shared" si="29"/>
        <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t="str">
        <f t="shared" si="29"/>
        <v/>
      </c>
      <c r="H70" s="152" t="str">
        <f t="shared" si="30"/>
        <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t="str">
        <f t="shared" si="29"/>
        <v/>
      </c>
      <c r="H71" s="152" t="str">
        <f t="shared" si="30"/>
        <v/>
      </c>
      <c r="I71" s="70">
        <f t="shared" si="31"/>
        <v>0</v>
      </c>
      <c r="J71" s="152" t="str">
        <f t="shared" si="32"/>
        <v/>
      </c>
      <c r="K71" s="163"/>
    </row>
    <row r="72" spans="1:11" ht="18">
      <c r="A72" s="30"/>
      <c r="B72" s="150">
        <v>2498</v>
      </c>
      <c r="C72" s="153" t="str">
        <f t="shared" si="20"/>
        <v>流动负债合计</v>
      </c>
      <c r="D72" s="154">
        <f>SUM(D57:D71)-SUM(D67,D68)</f>
        <v>9702781.5800000001</v>
      </c>
      <c r="E72" s="156">
        <f t="shared" ref="E72:I72" si="33">SUM(E57:E71)-SUM(E67,E68)</f>
        <v>1</v>
      </c>
      <c r="F72" s="154">
        <f t="shared" si="33"/>
        <v>0</v>
      </c>
      <c r="G72" s="156">
        <f t="shared" si="33"/>
        <v>0</v>
      </c>
      <c r="H72" s="156">
        <f t="shared" si="33"/>
        <v>0</v>
      </c>
      <c r="I72" s="154">
        <f t="shared" si="33"/>
        <v>-9702781.5800000001</v>
      </c>
      <c r="J72" s="152">
        <f t="shared" si="23"/>
        <v>-1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t="str">
        <f t="shared" ref="G74:G83" si="39">IF(F$85=0,"",F74/F$85)</f>
        <v/>
      </c>
      <c r="H74" s="152" t="str">
        <f t="shared" si="34"/>
        <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t="str">
        <f t="shared" si="39"/>
        <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t="str">
        <f t="shared" si="39"/>
        <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t="str">
        <f t="shared" si="39"/>
        <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t="str">
        <f t="shared" si="39"/>
        <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t="str">
        <f t="shared" si="39"/>
        <v/>
      </c>
      <c r="H79" s="152" t="str">
        <f t="shared" si="34"/>
        <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t="str">
        <f t="shared" si="39"/>
        <v/>
      </c>
      <c r="H80" s="152" t="str">
        <f t="shared" si="34"/>
        <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t="str">
        <f t="shared" si="39"/>
        <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t="str">
        <f t="shared" si="39"/>
        <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t="str">
        <f t="shared" si="39"/>
        <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9702781.5800000001</v>
      </c>
      <c r="E85" s="156">
        <f>SUM(E72,E84)</f>
        <v>1</v>
      </c>
      <c r="F85" s="154">
        <f>SUM(F72,F84)</f>
        <v>0</v>
      </c>
      <c r="G85" s="156">
        <f>SUM(G72,G84)</f>
        <v>0</v>
      </c>
      <c r="H85" s="156"/>
      <c r="I85" s="154">
        <f>SUM(I72,I84)</f>
        <v>-9702781.5800000001</v>
      </c>
      <c r="J85" s="155">
        <f t="shared" si="23"/>
        <v>-1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1000000</v>
      </c>
      <c r="E87" s="152">
        <f t="shared" ref="E87:E97" si="43">IF(D$98=0,"",D87/D$98)</f>
        <v>-0.69740000000000002</v>
      </c>
      <c r="F87" s="70">
        <f t="shared" ref="F87:F95" si="44">VLOOKUP($B87,Sheet_Trialbal,3,0)</f>
        <v>0</v>
      </c>
      <c r="G87" s="152">
        <f t="shared" ref="G87:G97" si="45">IF(F$98=0,"",F87/F$98)</f>
        <v>0</v>
      </c>
      <c r="H87" s="152">
        <f t="shared" si="40"/>
        <v>0.69740000000000002</v>
      </c>
      <c r="I87" s="70">
        <f t="shared" si="41"/>
        <v>-1000000</v>
      </c>
      <c r="J87" s="152">
        <f t="shared" si="23"/>
        <v>-1</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-2433969.27</v>
      </c>
      <c r="E95" s="152">
        <f t="shared" si="43"/>
        <v>1.6974</v>
      </c>
      <c r="F95" s="70">
        <f t="shared" si="44"/>
        <v>1747379.72</v>
      </c>
      <c r="G95" s="152">
        <f t="shared" si="45"/>
        <v>1</v>
      </c>
      <c r="H95" s="152">
        <f t="shared" si="40"/>
        <v>-0.69740000000000002</v>
      </c>
      <c r="I95" s="70">
        <f t="shared" si="41"/>
        <v>4181348.99</v>
      </c>
      <c r="J95" s="152">
        <f t="shared" si="47"/>
        <v>-1.7179</v>
      </c>
      <c r="K95" s="163"/>
    </row>
    <row r="96" spans="1:11" ht="18">
      <c r="A96" s="30"/>
      <c r="B96" s="150">
        <v>4298</v>
      </c>
      <c r="C96" s="164" t="str">
        <f t="shared" si="46"/>
        <v>归属于母公司所有者权益合计</v>
      </c>
      <c r="D96" s="154">
        <f>SUM(D87:D89,-D90,D91:D95)</f>
        <v>-1433969.27</v>
      </c>
      <c r="E96" s="155">
        <f t="shared" si="43"/>
        <v>1</v>
      </c>
      <c r="F96" s="154">
        <f>SUM(F87:F89,-F90,F91:F95)</f>
        <v>1747379.72</v>
      </c>
      <c r="G96" s="155">
        <f t="shared" si="45"/>
        <v>1</v>
      </c>
      <c r="H96" s="155">
        <f t="shared" si="40"/>
        <v>0</v>
      </c>
      <c r="I96" s="154">
        <f>SUM(I87:I89,-I90,I91:I95)</f>
        <v>3181348.99</v>
      </c>
      <c r="J96" s="152">
        <f t="shared" si="47"/>
        <v>-2.2185999999999999</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-1433969.27</v>
      </c>
      <c r="E98" s="156">
        <f t="shared" si="48"/>
        <v>1</v>
      </c>
      <c r="F98" s="154">
        <f t="shared" si="48"/>
        <v>1747379.72</v>
      </c>
      <c r="G98" s="156">
        <f t="shared" si="48"/>
        <v>1</v>
      </c>
      <c r="H98" s="156">
        <f t="shared" si="48"/>
        <v>0</v>
      </c>
      <c r="I98" s="154">
        <f t="shared" si="48"/>
        <v>3181348.99</v>
      </c>
      <c r="J98" s="152">
        <f t="shared" si="47"/>
        <v>-2.2185999999999999</v>
      </c>
      <c r="K98" s="163"/>
    </row>
    <row r="99" spans="1:11" ht="18">
      <c r="A99" s="30"/>
      <c r="B99" s="150">
        <v>5000</v>
      </c>
      <c r="C99" s="153" t="str">
        <f t="shared" si="46"/>
        <v>负债和所有者权益总计</v>
      </c>
      <c r="D99" s="154">
        <f>SUM(D85,D98)</f>
        <v>8268812.3099999996</v>
      </c>
      <c r="E99" s="152"/>
      <c r="F99" s="154">
        <f>SUM(F85,F98)</f>
        <v>1747379.72</v>
      </c>
      <c r="G99" s="152"/>
      <c r="H99" s="152" t="str">
        <f t="shared" ref="H99:H101" si="49">IF(OR(G99="",E99=""),"",G99-E99)</f>
        <v/>
      </c>
      <c r="I99" s="154">
        <f>SUM(I85,I98)</f>
        <v>-6521432.5899999999</v>
      </c>
      <c r="J99" s="152">
        <f t="shared" si="47"/>
        <v>-0.78869999999999996</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24">
      <c r="A101" s="30"/>
      <c r="B101" s="150">
        <v>6001</v>
      </c>
      <c r="C101" s="151" t="str">
        <f t="shared" ref="C101:C124" si="51">IF($B101="","",VLOOKUP($B101,Sheet_Items,2,0))</f>
        <v>营业收入</v>
      </c>
      <c r="D101" s="70">
        <f t="shared" ref="D101:D114" si="52">VLOOKUP($B101,Sheet_Trialbal,10,0)</f>
        <v>10519044.27</v>
      </c>
      <c r="E101" s="152"/>
      <c r="F101" s="70">
        <f t="shared" ref="F101:F114" si="53">VLOOKUP($B101,Sheet_Trialbal,3,0)</f>
        <v>2189820.39</v>
      </c>
      <c r="G101" s="152"/>
      <c r="H101" s="152" t="str">
        <f t="shared" si="49"/>
        <v/>
      </c>
      <c r="I101" s="70">
        <f t="shared" si="50"/>
        <v>-8329223.8799999999</v>
      </c>
      <c r="J101" s="152">
        <f t="shared" si="47"/>
        <v>-0.79179999999999995</v>
      </c>
      <c r="K101" s="3102" t="s">
        <v>6820</v>
      </c>
    </row>
    <row r="102" spans="1:11" ht="18">
      <c r="A102" s="30"/>
      <c r="B102" s="150">
        <v>6401</v>
      </c>
      <c r="C102" s="151" t="str">
        <f t="shared" si="51"/>
        <v>营业成本</v>
      </c>
      <c r="D102" s="70">
        <f t="shared" si="52"/>
        <v>4316544.09</v>
      </c>
      <c r="E102" s="152"/>
      <c r="F102" s="70">
        <f t="shared" si="53"/>
        <v>1009661.4</v>
      </c>
      <c r="G102" s="152"/>
      <c r="H102" s="152" t="str">
        <f t="shared" ref="H102:H114" si="54">IF(OR(G102="",E102=""),"",G102-E102)</f>
        <v/>
      </c>
      <c r="I102" s="70">
        <f t="shared" ref="I102:I114" si="55">IF(OR(F102="",D102=""),"",F102-D102)</f>
        <v>-3306882.69</v>
      </c>
      <c r="J102" s="152">
        <f t="shared" ref="J102:J115" si="56">IF(OR(I102="",D102="",D102=0),"",I102/D102)</f>
        <v>-0.7661</v>
      </c>
      <c r="K102" s="163"/>
    </row>
    <row r="103" spans="1:11" ht="18">
      <c r="A103" s="30"/>
      <c r="B103" s="150">
        <v>6600</v>
      </c>
      <c r="C103" s="151" t="str">
        <f t="shared" si="51"/>
        <v>税金及附加</v>
      </c>
      <c r="D103" s="70">
        <f t="shared" si="52"/>
        <v>42462.27</v>
      </c>
      <c r="E103" s="152"/>
      <c r="F103" s="70">
        <f t="shared" si="53"/>
        <v>147093.37</v>
      </c>
      <c r="G103" s="152"/>
      <c r="H103" s="152" t="str">
        <f t="shared" si="54"/>
        <v/>
      </c>
      <c r="I103" s="70">
        <f t="shared" si="55"/>
        <v>104631.1</v>
      </c>
      <c r="J103" s="152">
        <f t="shared" si="56"/>
        <v>2.4641000000000002</v>
      </c>
      <c r="K103" s="163"/>
    </row>
    <row r="104" spans="1:11" ht="18">
      <c r="A104" s="30"/>
      <c r="B104" s="150">
        <v>6601</v>
      </c>
      <c r="C104" s="151" t="str">
        <f t="shared" si="51"/>
        <v>销售费用</v>
      </c>
      <c r="D104" s="70">
        <f t="shared" si="52"/>
        <v>494261.11</v>
      </c>
      <c r="E104" s="152"/>
      <c r="F104" s="70">
        <f t="shared" si="53"/>
        <v>0</v>
      </c>
      <c r="G104" s="152"/>
      <c r="H104" s="152" t="str">
        <f t="shared" si="54"/>
        <v/>
      </c>
      <c r="I104" s="70">
        <f t="shared" si="55"/>
        <v>-494261.11</v>
      </c>
      <c r="J104" s="152">
        <f t="shared" si="56"/>
        <v>-1</v>
      </c>
      <c r="K104" s="163"/>
    </row>
    <row r="105" spans="1:11" ht="18">
      <c r="A105" s="30"/>
      <c r="B105" s="150">
        <v>6602</v>
      </c>
      <c r="C105" s="151" t="str">
        <f t="shared" si="51"/>
        <v>管理费用</v>
      </c>
      <c r="D105" s="70">
        <f t="shared" si="52"/>
        <v>6359.38</v>
      </c>
      <c r="E105" s="152"/>
      <c r="F105" s="70">
        <f t="shared" si="53"/>
        <v>419878.21</v>
      </c>
      <c r="G105" s="152"/>
      <c r="H105" s="152" t="str">
        <f t="shared" si="54"/>
        <v/>
      </c>
      <c r="I105" s="70">
        <f t="shared" si="55"/>
        <v>413518.83</v>
      </c>
      <c r="J105" s="152">
        <f t="shared" si="56"/>
        <v>65.025000000000006</v>
      </c>
      <c r="K105" s="163"/>
    </row>
    <row r="106" spans="1:11" ht="18">
      <c r="A106" s="30"/>
      <c r="B106" s="150">
        <v>6606</v>
      </c>
      <c r="C106" s="151" t="str">
        <f t="shared" si="51"/>
        <v>研发费用</v>
      </c>
      <c r="D106" s="70">
        <f t="shared" si="52"/>
        <v>121122.15</v>
      </c>
      <c r="E106" s="152"/>
      <c r="F106" s="70">
        <f t="shared" si="53"/>
        <v>0</v>
      </c>
      <c r="G106" s="152"/>
      <c r="H106" s="152" t="str">
        <f t="shared" si="54"/>
        <v/>
      </c>
      <c r="I106" s="70">
        <f t="shared" si="55"/>
        <v>-121122.15</v>
      </c>
      <c r="J106" s="152">
        <f t="shared" si="56"/>
        <v>-1</v>
      </c>
      <c r="K106" s="3102" t="s">
        <v>6821</v>
      </c>
    </row>
    <row r="107" spans="1:11" ht="18">
      <c r="A107" s="30"/>
      <c r="B107" s="150">
        <v>6603</v>
      </c>
      <c r="C107" s="151" t="str">
        <f t="shared" si="51"/>
        <v>财务费用</v>
      </c>
      <c r="D107" s="70">
        <f t="shared" si="52"/>
        <v>236.95</v>
      </c>
      <c r="E107" s="152"/>
      <c r="F107" s="70">
        <f t="shared" si="53"/>
        <v>1582.34</v>
      </c>
      <c r="G107" s="152"/>
      <c r="H107" s="152" t="str">
        <f t="shared" si="54"/>
        <v/>
      </c>
      <c r="I107" s="70">
        <f t="shared" si="55"/>
        <v>1345.39</v>
      </c>
      <c r="J107" s="152">
        <f t="shared" si="56"/>
        <v>5.6779000000000002</v>
      </c>
      <c r="K107" s="163"/>
    </row>
    <row r="108" spans="1:11" ht="18">
      <c r="A108" s="30"/>
      <c r="B108" s="150">
        <v>6181</v>
      </c>
      <c r="C108" s="151" t="str">
        <f t="shared" si="51"/>
        <v>其他收益</v>
      </c>
      <c r="D108" s="70">
        <f t="shared" si="52"/>
        <v>0</v>
      </c>
      <c r="E108" s="152"/>
      <c r="F108" s="70">
        <f t="shared" si="53"/>
        <v>41615.08</v>
      </c>
      <c r="G108" s="152"/>
      <c r="H108" s="152" t="str">
        <f t="shared" si="54"/>
        <v/>
      </c>
      <c r="I108" s="70">
        <f t="shared" si="55"/>
        <v>41615.08</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4831.16</v>
      </c>
      <c r="G112" s="152"/>
      <c r="H112" s="152" t="str">
        <f t="shared" si="54"/>
        <v/>
      </c>
      <c r="I112" s="70">
        <f t="shared" si="55"/>
        <v>4831.16</v>
      </c>
      <c r="J112" s="152" t="str">
        <f t="shared" si="56"/>
        <v/>
      </c>
      <c r="K112" s="163"/>
    </row>
    <row r="113" spans="1:11" ht="24">
      <c r="A113" s="30"/>
      <c r="B113" s="150">
        <v>6671</v>
      </c>
      <c r="C113" s="151" t="str">
        <f>IF($B113="","",VLOOKUP($B113,Sheet_Items,6,0))</f>
        <v>资产减值损失（损失以“-”号填列）</v>
      </c>
      <c r="D113" s="70">
        <f t="shared" si="52"/>
        <v>-35987.15</v>
      </c>
      <c r="E113" s="152"/>
      <c r="F113" s="70">
        <f t="shared" si="53"/>
        <v>0</v>
      </c>
      <c r="G113" s="152"/>
      <c r="H113" s="152" t="str">
        <f t="shared" si="54"/>
        <v/>
      </c>
      <c r="I113" s="70">
        <f t="shared" si="55"/>
        <v>35987.15</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5502071.1699999999</v>
      </c>
      <c r="E115" s="152">
        <f t="shared" ref="E115:I115" si="57">SUM(E101)-SUM(E102:E107)+SUM(E108:E114)</f>
        <v>0</v>
      </c>
      <c r="F115" s="154">
        <f t="shared" si="57"/>
        <v>658051.31000000006</v>
      </c>
      <c r="G115" s="152">
        <f t="shared" si="57"/>
        <v>0</v>
      </c>
      <c r="H115" s="152">
        <f t="shared" si="57"/>
        <v>0</v>
      </c>
      <c r="I115" s="154">
        <f t="shared" si="57"/>
        <v>-4844019.8600000003</v>
      </c>
      <c r="J115" s="152">
        <f t="shared" si="56"/>
        <v>-0.88039999999999996</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5502071.1699999999</v>
      </c>
      <c r="E118" s="152"/>
      <c r="F118" s="154">
        <f>SUM(F115,F116,-F117)</f>
        <v>658051.31000000006</v>
      </c>
      <c r="G118" s="152"/>
      <c r="H118" s="152" t="str">
        <f t="shared" si="58"/>
        <v/>
      </c>
      <c r="I118" s="154">
        <f>SUM(I115,I116,-I117)</f>
        <v>-4844019.8600000003</v>
      </c>
      <c r="J118" s="155">
        <f t="shared" si="47"/>
        <v>-0.88039999999999996</v>
      </c>
      <c r="K118" s="163"/>
    </row>
    <row r="119" spans="1:11" ht="18">
      <c r="A119" s="30"/>
      <c r="B119" s="150">
        <v>6791</v>
      </c>
      <c r="C119" s="151" t="str">
        <f t="shared" si="51"/>
        <v>所得税费用</v>
      </c>
      <c r="D119" s="70">
        <f>VLOOKUP($B119,Sheet_Trialbal,10,0)</f>
        <v>38389.24</v>
      </c>
      <c r="E119" s="152"/>
      <c r="F119" s="70">
        <f>VLOOKUP($B119,Sheet_Trialbal,3,0)</f>
        <v>-1089328.4099999999</v>
      </c>
      <c r="G119" s="152"/>
      <c r="H119" s="152" t="str">
        <f t="shared" si="58"/>
        <v/>
      </c>
      <c r="I119" s="70">
        <f t="shared" ref="I119:I125" si="59">IF(OR(F119="",D119=""),"",F119-D119)</f>
        <v>-1127717.6499999999</v>
      </c>
      <c r="J119" s="152">
        <f t="shared" si="47"/>
        <v>-29.375900000000001</v>
      </c>
      <c r="K119" s="163"/>
    </row>
    <row r="120" spans="1:11" ht="18">
      <c r="A120" s="30"/>
      <c r="B120" s="150">
        <v>6799</v>
      </c>
      <c r="C120" s="153" t="str">
        <f t="shared" si="51"/>
        <v>净利润</v>
      </c>
      <c r="D120" s="154">
        <f>SUM(D118,-D119)</f>
        <v>5463681.9299999997</v>
      </c>
      <c r="E120" s="152"/>
      <c r="F120" s="154">
        <f>SUM(F118,-F119)</f>
        <v>1747379.72</v>
      </c>
      <c r="G120" s="152"/>
      <c r="H120" s="152" t="str">
        <f t="shared" si="58"/>
        <v/>
      </c>
      <c r="I120" s="154">
        <f t="shared" si="59"/>
        <v>-3716302.21</v>
      </c>
      <c r="J120" s="155">
        <f t="shared" si="47"/>
        <v>-0.68020000000000003</v>
      </c>
      <c r="K120" s="163"/>
    </row>
    <row r="121" spans="1:11" ht="18">
      <c r="A121" s="30"/>
      <c r="B121" s="150">
        <v>6811</v>
      </c>
      <c r="C121" s="151" t="str">
        <f t="shared" si="51"/>
        <v>归属于母公司所有者的净利润</v>
      </c>
      <c r="D121" s="70">
        <f>VLOOKUP($B121,Sheet_Trialbal,10,0)</f>
        <v>5463681.9299999997</v>
      </c>
      <c r="E121" s="152"/>
      <c r="F121" s="70">
        <f>VLOOKUP($B121,Sheet_Trialbal,3,0)</f>
        <v>1747379.72</v>
      </c>
      <c r="G121" s="152"/>
      <c r="H121" s="152" t="str">
        <f t="shared" si="58"/>
        <v/>
      </c>
      <c r="I121" s="70">
        <f t="shared" si="59"/>
        <v>-3716302.21</v>
      </c>
      <c r="J121" s="152">
        <f t="shared" si="47"/>
        <v>-0.68020000000000003</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5463681.9299999997</v>
      </c>
      <c r="E124" s="152"/>
      <c r="F124" s="154">
        <f>SUM(F120,F123)</f>
        <v>1747379.72</v>
      </c>
      <c r="G124" s="152"/>
      <c r="H124" s="152" t="str">
        <f t="shared" si="58"/>
        <v/>
      </c>
      <c r="I124" s="154">
        <f t="shared" si="59"/>
        <v>-3716302.21</v>
      </c>
      <c r="J124" s="155">
        <f t="shared" si="47"/>
        <v>-0.68020000000000003</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北京鼎竑信息技术有限公司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0.58960000000000001</v>
      </c>
      <c r="E10" s="70"/>
      <c r="F10" s="75">
        <f>IF(F61=0,"",F62/F61)</f>
        <v>0.53890000000000005</v>
      </c>
      <c r="G10" s="70"/>
      <c r="H10" s="34"/>
      <c r="I10" s="56"/>
      <c r="J10" s="101" t="s">
        <v>5014</v>
      </c>
    </row>
    <row r="11" spans="1:10" ht="18">
      <c r="A11" s="30"/>
      <c r="B11" s="31"/>
      <c r="C11" s="72" t="s">
        <v>5015</v>
      </c>
      <c r="D11" s="75">
        <f>IF(D$61=0,"",D64/D$61)</f>
        <v>0.52310000000000001</v>
      </c>
      <c r="E11" s="70"/>
      <c r="F11" s="75">
        <f>IF(F$61=0,"",F64/F$61)</f>
        <v>0.30049999999999999</v>
      </c>
      <c r="G11" s="70"/>
      <c r="H11" s="34"/>
      <c r="I11" s="56"/>
      <c r="J11" s="101" t="s">
        <v>5016</v>
      </c>
    </row>
    <row r="12" spans="1:10" ht="18">
      <c r="A12" s="30"/>
      <c r="B12" s="31"/>
      <c r="C12" s="72" t="s">
        <v>5017</v>
      </c>
      <c r="D12" s="75">
        <f>IF(D$55=0,"",D65/D$55)</f>
        <v>0.66080000000000005</v>
      </c>
      <c r="E12" s="70"/>
      <c r="F12" s="75" t="str">
        <f>IF(F$55=0,"",F65/F$55)</f>
        <v/>
      </c>
      <c r="G12" s="70"/>
      <c r="H12" s="34"/>
      <c r="I12" s="56"/>
      <c r="J12" s="101" t="s">
        <v>5018</v>
      </c>
    </row>
    <row r="13" spans="1:10" ht="18">
      <c r="A13" s="30"/>
      <c r="B13" s="31"/>
      <c r="C13" s="72" t="s">
        <v>5019</v>
      </c>
      <c r="D13" s="75">
        <f>IF(D60=0,"",D65/D60)</f>
        <v>-3.8102</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4.05</v>
      </c>
      <c r="E15" s="70"/>
      <c r="F15" s="70">
        <f>IF(F47=0,"",F$61/F47)</f>
        <v>0.84</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2.54</v>
      </c>
      <c r="E17" s="70"/>
      <c r="F17" s="70">
        <f>IF(F56=0,"",F$61/F56)</f>
        <v>0.53</v>
      </c>
      <c r="G17" s="70"/>
      <c r="H17" s="34"/>
      <c r="I17" s="56"/>
      <c r="J17" s="101" t="s">
        <v>5027</v>
      </c>
    </row>
    <row r="18" spans="1:10" ht="18">
      <c r="A18" s="30"/>
      <c r="B18" s="31"/>
      <c r="C18" s="72" t="s">
        <v>5028</v>
      </c>
      <c r="D18" s="70">
        <f>IF(D58=0,"",D$61/D58)</f>
        <v>-2.89</v>
      </c>
      <c r="E18" s="70"/>
      <c r="F18" s="70" t="str">
        <f>IF(F58=0,"",F$61/F58)</f>
        <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0.62</v>
      </c>
      <c r="E20" s="70"/>
      <c r="F20" s="70" t="str">
        <f>IF(F$57=0,"",F53/F$57)</f>
        <v/>
      </c>
      <c r="G20" s="70"/>
      <c r="H20" s="34"/>
      <c r="I20" s="56"/>
      <c r="J20" s="101" t="s">
        <v>5032</v>
      </c>
    </row>
    <row r="21" spans="1:10" ht="18">
      <c r="A21" s="30"/>
      <c r="B21" s="31"/>
      <c r="C21" s="72" t="s">
        <v>5033</v>
      </c>
      <c r="D21" s="70">
        <f>IF(D$57=0,"",D54/D$57)</f>
        <v>0.62</v>
      </c>
      <c r="E21" s="70"/>
      <c r="F21" s="70" t="str">
        <f>IF(F$57=0,"",F54/F$57)</f>
        <v/>
      </c>
      <c r="G21" s="70"/>
      <c r="H21" s="34"/>
      <c r="I21" s="56"/>
      <c r="J21" s="101" t="s">
        <v>5034</v>
      </c>
    </row>
    <row r="22" spans="1:10" ht="18">
      <c r="A22" s="30"/>
      <c r="B22" s="31"/>
      <c r="C22" s="72" t="s">
        <v>5035</v>
      </c>
      <c r="D22" s="70">
        <f>IF(D$57=0,"",D70/D$57)</f>
        <v>0.08</v>
      </c>
      <c r="E22" s="70"/>
      <c r="F22" s="70" t="str">
        <f>IF(F$57=0,"",F70/F$57)</f>
        <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1.1734</v>
      </c>
      <c r="E24" s="75"/>
      <c r="F24" s="75" t="str">
        <f>IF(F55=0,"",F59/F55)</f>
        <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-0.79179999999999995</v>
      </c>
      <c r="G26" s="75"/>
      <c r="H26" s="34"/>
      <c r="I26" s="56"/>
      <c r="J26" s="101" t="s">
        <v>5041</v>
      </c>
    </row>
    <row r="27" spans="1:10" ht="18">
      <c r="A27" s="30"/>
      <c r="B27" s="31"/>
      <c r="C27" s="72" t="s">
        <v>5042</v>
      </c>
      <c r="D27" s="75" t="str">
        <f>IF(H64=0,"",(D64-H64)/H64)</f>
        <v/>
      </c>
      <c r="E27" s="75"/>
      <c r="F27" s="75">
        <f>IF(D64=0,"",(F64-D64)/D64)</f>
        <v>-0.88039999999999996</v>
      </c>
      <c r="G27" s="75"/>
      <c r="H27" s="34"/>
      <c r="I27" s="56"/>
      <c r="J27" s="101" t="s">
        <v>5043</v>
      </c>
    </row>
    <row r="28" spans="1:10" ht="18">
      <c r="A28" s="30"/>
      <c r="B28" s="31"/>
      <c r="C28" s="72" t="s">
        <v>5044</v>
      </c>
      <c r="D28" s="75" t="str">
        <f>IF(H65=0,"",(D65-H65)/H65)</f>
        <v/>
      </c>
      <c r="E28" s="75"/>
      <c r="F28" s="75">
        <f>IF(D65=0,"",(F65-D65)/D65)</f>
        <v>-0.68020000000000003</v>
      </c>
      <c r="G28" s="75"/>
      <c r="H28" s="34"/>
      <c r="I28" s="56"/>
      <c r="J28" s="101" t="s">
        <v>5045</v>
      </c>
    </row>
    <row r="29" spans="1:10" ht="18">
      <c r="A29" s="30"/>
      <c r="B29" s="31"/>
      <c r="C29" s="72" t="s">
        <v>5046</v>
      </c>
      <c r="D29" s="75" t="str">
        <f>IF(H60=0,"",(D60-H60)/H60)</f>
        <v/>
      </c>
      <c r="E29" s="75"/>
      <c r="F29" s="75">
        <f>IF(D60=0,"",(F60-D60)/D60)</f>
        <v>-2.2185999999999999</v>
      </c>
      <c r="G29" s="75"/>
      <c r="H29" s="34"/>
      <c r="I29" s="56"/>
      <c r="J29" s="101" t="s">
        <v>5047</v>
      </c>
    </row>
    <row r="30" spans="1:10" ht="18">
      <c r="A30" s="30"/>
      <c r="B30" s="31"/>
      <c r="C30" s="72" t="s">
        <v>5048</v>
      </c>
      <c r="D30" s="75" t="str">
        <f>IF(H55=0,"",(D55-H55)/H55)</f>
        <v/>
      </c>
      <c r="E30" s="75"/>
      <c r="F30" s="75">
        <f>IF(D55=0,"",(F55-D55)/D55)</f>
        <v>-1</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2" t="s">
        <v>5059</v>
      </c>
      <c r="I41" s="3313"/>
      <c r="J41" s="97" t="s">
        <v>5060</v>
      </c>
    </row>
    <row r="42" spans="1:10" ht="18">
      <c r="A42" s="30"/>
      <c r="B42" s="108"/>
      <c r="C42" s="109" t="s">
        <v>5061</v>
      </c>
      <c r="D42" s="110"/>
      <c r="E42" s="111"/>
      <c r="F42" s="110"/>
      <c r="G42" s="110"/>
      <c r="H42" s="3314"/>
      <c r="I42" s="3315"/>
      <c r="J42" s="96"/>
    </row>
    <row r="43" spans="1:10" ht="18">
      <c r="A43" s="30"/>
      <c r="B43" s="112"/>
      <c r="C43" s="113" t="s">
        <v>5062</v>
      </c>
      <c r="D43" s="114"/>
      <c r="E43" s="115"/>
      <c r="F43" s="114"/>
      <c r="G43" s="114"/>
      <c r="H43" s="3316"/>
      <c r="I43" s="3317"/>
      <c r="J43" s="96"/>
    </row>
    <row r="44" spans="1:10" ht="18">
      <c r="A44" s="30"/>
      <c r="B44" s="116">
        <v>1122</v>
      </c>
      <c r="C44" s="113" t="s">
        <v>124</v>
      </c>
      <c r="D44" s="117">
        <f>VLOOKUP($B44,Sheet_Trialbal,10,0)</f>
        <v>5191249.5199999996</v>
      </c>
      <c r="E44" s="117"/>
      <c r="F44" s="117">
        <f>VLOOKUP($B44,Sheet_Trialbal,3,0)</f>
        <v>0</v>
      </c>
      <c r="G44" s="117"/>
      <c r="H44" s="3318"/>
      <c r="I44" s="3319"/>
      <c r="J44" s="101" t="s">
        <v>5063</v>
      </c>
    </row>
    <row r="45" spans="1:10" ht="18">
      <c r="A45" s="30"/>
      <c r="B45" s="116">
        <v>1122.1231</v>
      </c>
      <c r="C45" s="113" t="s">
        <v>5064</v>
      </c>
      <c r="D45" s="114">
        <f>VLOOKUP($B45,Sheet_Trialbal,10,0)</f>
        <v>0</v>
      </c>
      <c r="E45" s="114"/>
      <c r="F45" s="114">
        <f>VLOOKUP($B45,Sheet_Trialbal,3,0)</f>
        <v>0</v>
      </c>
      <c r="G45" s="114"/>
      <c r="H45" s="3318"/>
      <c r="I45" s="3319"/>
      <c r="J45" s="101" t="s">
        <v>5063</v>
      </c>
    </row>
    <row r="46" spans="1:10" ht="18">
      <c r="A46" s="30"/>
      <c r="B46" s="116"/>
      <c r="C46" s="113" t="s">
        <v>5065</v>
      </c>
      <c r="D46" s="118">
        <f>D44+D45</f>
        <v>5191249.5199999996</v>
      </c>
      <c r="E46" s="118"/>
      <c r="F46" s="118">
        <f>F44+F45</f>
        <v>0</v>
      </c>
      <c r="G46" s="118"/>
      <c r="H46" s="3320">
        <f>H44+H45</f>
        <v>0</v>
      </c>
      <c r="I46" s="3321">
        <f>I44+I45</f>
        <v>0</v>
      </c>
      <c r="J46" s="96"/>
    </row>
    <row r="47" spans="1:10" ht="18">
      <c r="A47" s="30"/>
      <c r="B47" s="116"/>
      <c r="C47" s="120" t="s">
        <v>5066</v>
      </c>
      <c r="D47" s="118">
        <f>(D46+H46)/2</f>
        <v>2595624.7599999998</v>
      </c>
      <c r="E47" s="118"/>
      <c r="F47" s="118">
        <f>(D46+F46)/2</f>
        <v>2595624.7599999998</v>
      </c>
      <c r="G47" s="118"/>
      <c r="H47" s="3320"/>
      <c r="I47" s="3321"/>
      <c r="J47" s="96"/>
    </row>
    <row r="48" spans="1:10" ht="18">
      <c r="A48" s="30"/>
      <c r="B48" s="116">
        <v>1125</v>
      </c>
      <c r="C48" s="113" t="s">
        <v>162</v>
      </c>
      <c r="D48" s="117">
        <f>VLOOKUP($B48,Sheet_Trialbal,10,0)</f>
        <v>0</v>
      </c>
      <c r="E48" s="117"/>
      <c r="F48" s="117">
        <f>VLOOKUP($B48,Sheet_Trialbal,3,0)</f>
        <v>0</v>
      </c>
      <c r="G48" s="117"/>
      <c r="H48" s="3320"/>
      <c r="I48" s="3321"/>
      <c r="J48" s="96"/>
    </row>
    <row r="49" spans="1:10" ht="18">
      <c r="A49" s="30"/>
      <c r="B49" s="116">
        <v>1400</v>
      </c>
      <c r="C49" s="113" t="s">
        <v>229</v>
      </c>
      <c r="D49" s="117">
        <f>VLOOKUP($B49,Sheet_Trialbal,10,0)</f>
        <v>0</v>
      </c>
      <c r="E49" s="117"/>
      <c r="F49" s="117">
        <f>VLOOKUP($B49,Sheet_Trialbal,3,0)</f>
        <v>0</v>
      </c>
      <c r="G49" s="117"/>
      <c r="H49" s="3318"/>
      <c r="I49" s="3319"/>
      <c r="J49" s="101" t="s">
        <v>5063</v>
      </c>
    </row>
    <row r="50" spans="1:10" ht="18">
      <c r="A50" s="30"/>
      <c r="B50" s="116">
        <v>1400.1470999999999</v>
      </c>
      <c r="C50" s="113" t="s">
        <v>5067</v>
      </c>
      <c r="D50" s="114">
        <f>VLOOKUP($B50,Sheet_Trialbal,10,0)</f>
        <v>0</v>
      </c>
      <c r="E50" s="114"/>
      <c r="F50" s="114">
        <f>VLOOKUP($B50,Sheet_Trialbal,3,0)</f>
        <v>0</v>
      </c>
      <c r="G50" s="114"/>
      <c r="H50" s="3318"/>
      <c r="I50" s="3319"/>
      <c r="J50" s="101" t="s">
        <v>5063</v>
      </c>
    </row>
    <row r="51" spans="1:10" ht="18">
      <c r="A51" s="30"/>
      <c r="B51" s="116"/>
      <c r="C51" s="113" t="s">
        <v>5068</v>
      </c>
      <c r="D51" s="118">
        <f>D49+D50</f>
        <v>0</v>
      </c>
      <c r="E51" s="118"/>
      <c r="F51" s="118">
        <f>F49+F50</f>
        <v>0</v>
      </c>
      <c r="G51" s="118"/>
      <c r="H51" s="3320">
        <f>H49+H50</f>
        <v>0</v>
      </c>
      <c r="I51" s="3321">
        <f>I49+I50</f>
        <v>0</v>
      </c>
      <c r="J51" s="96"/>
    </row>
    <row r="52" spans="1:10" ht="18">
      <c r="A52" s="30"/>
      <c r="B52" s="116"/>
      <c r="C52" s="120" t="s">
        <v>5069</v>
      </c>
      <c r="D52" s="118">
        <f>(D51+H51)/2</f>
        <v>0</v>
      </c>
      <c r="E52" s="118"/>
      <c r="F52" s="118">
        <f>(D51+F51)/2</f>
        <v>0</v>
      </c>
      <c r="G52" s="118"/>
      <c r="H52" s="3320"/>
      <c r="I52" s="3321"/>
      <c r="J52" s="96"/>
    </row>
    <row r="53" spans="1:10" ht="18">
      <c r="A53" s="30"/>
      <c r="B53" s="116">
        <v>1498</v>
      </c>
      <c r="C53" s="113" t="s">
        <v>286</v>
      </c>
      <c r="D53" s="117">
        <f>VLOOKUP($B53,Sheet_Trialbal,10,0)</f>
        <v>6060434.4199999999</v>
      </c>
      <c r="E53" s="117"/>
      <c r="F53" s="117">
        <f>VLOOKUP($B53,Sheet_Trialbal,3,0)</f>
        <v>0</v>
      </c>
      <c r="G53" s="117"/>
      <c r="H53" s="3320"/>
      <c r="I53" s="3321"/>
      <c r="J53" s="96"/>
    </row>
    <row r="54" spans="1:10" ht="18">
      <c r="A54" s="30"/>
      <c r="B54" s="116"/>
      <c r="C54" s="120" t="s">
        <v>5070</v>
      </c>
      <c r="D54" s="118">
        <f>D53-D48-D49</f>
        <v>6060434.4199999999</v>
      </c>
      <c r="E54" s="118"/>
      <c r="F54" s="118">
        <f>F53-F48-F49</f>
        <v>0</v>
      </c>
      <c r="G54" s="118"/>
      <c r="H54" s="3320"/>
      <c r="I54" s="3321"/>
      <c r="J54" s="96"/>
    </row>
    <row r="55" spans="1:10" ht="18">
      <c r="A55" s="30"/>
      <c r="B55" s="116">
        <v>1999</v>
      </c>
      <c r="C55" s="113" t="s">
        <v>5071</v>
      </c>
      <c r="D55" s="117">
        <f>VLOOKUP($B55,Sheet_Trialbal,10,0)</f>
        <v>8268812.3099999996</v>
      </c>
      <c r="E55" s="117"/>
      <c r="F55" s="117">
        <f>VLOOKUP($B55,Sheet_Trialbal,3,0)</f>
        <v>0</v>
      </c>
      <c r="G55" s="117"/>
      <c r="H55" s="3318"/>
      <c r="I55" s="3319"/>
      <c r="J55" s="101" t="s">
        <v>5063</v>
      </c>
    </row>
    <row r="56" spans="1:10" ht="18">
      <c r="A56" s="30"/>
      <c r="B56" s="116"/>
      <c r="C56" s="120" t="s">
        <v>5072</v>
      </c>
      <c r="D56" s="118">
        <f>(D55+H55)/2</f>
        <v>4134406.16</v>
      </c>
      <c r="E56" s="118"/>
      <c r="F56" s="118">
        <f>(D55+F55)/2</f>
        <v>4134406.16</v>
      </c>
      <c r="G56" s="117"/>
      <c r="H56" s="3320"/>
      <c r="I56" s="3321"/>
      <c r="J56" s="96"/>
    </row>
    <row r="57" spans="1:10" ht="18">
      <c r="A57" s="30"/>
      <c r="B57" s="116">
        <v>2498</v>
      </c>
      <c r="C57" s="113" t="s">
        <v>566</v>
      </c>
      <c r="D57" s="117">
        <f>VLOOKUP($B57,Sheet_Trialbal,10,0)</f>
        <v>9702781.5800000001</v>
      </c>
      <c r="E57" s="117"/>
      <c r="F57" s="117">
        <f>VLOOKUP($B57,Sheet_Trialbal,3,0)</f>
        <v>0</v>
      </c>
      <c r="G57" s="117"/>
      <c r="H57" s="3320"/>
      <c r="I57" s="3321"/>
      <c r="J57" s="96"/>
    </row>
    <row r="58" spans="1:10" ht="18">
      <c r="A58" s="30"/>
      <c r="B58" s="116"/>
      <c r="C58" s="113" t="s">
        <v>5073</v>
      </c>
      <c r="D58" s="118">
        <f>D53-D57</f>
        <v>-3642347.16</v>
      </c>
      <c r="E58" s="118"/>
      <c r="F58" s="118">
        <f>F53-F57</f>
        <v>0</v>
      </c>
      <c r="G58" s="118"/>
      <c r="H58" s="3320"/>
      <c r="I58" s="3321"/>
      <c r="J58" s="96"/>
    </row>
    <row r="59" spans="1:10" ht="18">
      <c r="A59" s="30"/>
      <c r="B59" s="116">
        <v>2999</v>
      </c>
      <c r="C59" s="113" t="s">
        <v>5074</v>
      </c>
      <c r="D59" s="117">
        <f t="shared" ref="D59:D70" si="0">VLOOKUP($B59,Sheet_Trialbal,10,0)</f>
        <v>9702781.5800000001</v>
      </c>
      <c r="E59" s="117"/>
      <c r="F59" s="117">
        <f t="shared" ref="F59:F70" si="1">VLOOKUP($B59,Sheet_Trialbal,3,0)</f>
        <v>0</v>
      </c>
      <c r="G59" s="117"/>
      <c r="H59" s="3320"/>
      <c r="I59" s="3321"/>
      <c r="J59" s="96"/>
    </row>
    <row r="60" spans="1:10" ht="18">
      <c r="A60" s="30"/>
      <c r="B60" s="116">
        <v>4999</v>
      </c>
      <c r="C60" s="113" t="s">
        <v>5075</v>
      </c>
      <c r="D60" s="117">
        <f t="shared" si="0"/>
        <v>-1433969.27</v>
      </c>
      <c r="E60" s="117"/>
      <c r="F60" s="117">
        <f t="shared" si="1"/>
        <v>1747379.72</v>
      </c>
      <c r="G60" s="117"/>
      <c r="H60" s="3318"/>
      <c r="I60" s="3319"/>
      <c r="J60" s="101" t="s">
        <v>5063</v>
      </c>
    </row>
    <row r="61" spans="1:10" ht="18">
      <c r="A61" s="30"/>
      <c r="B61" s="116">
        <v>6001</v>
      </c>
      <c r="C61" s="113" t="s">
        <v>631</v>
      </c>
      <c r="D61" s="117">
        <f>VLOOKUP($B61,Sheet_Trialbal,10,0)</f>
        <v>10519044.27</v>
      </c>
      <c r="E61" s="117"/>
      <c r="F61" s="117">
        <f>VLOOKUP($B61,Sheet_Trialbal,3,0)</f>
        <v>2189820.39</v>
      </c>
      <c r="G61" s="117"/>
      <c r="H61" s="3324"/>
      <c r="I61" s="3325"/>
      <c r="J61" s="101" t="s">
        <v>5063</v>
      </c>
    </row>
    <row r="62" spans="1:10" ht="18">
      <c r="A62" s="30"/>
      <c r="B62" s="116"/>
      <c r="C62" s="113" t="s">
        <v>5076</v>
      </c>
      <c r="D62" s="117">
        <f>D61-D67</f>
        <v>6202500.1799999997</v>
      </c>
      <c r="E62" s="117"/>
      <c r="F62" s="117">
        <f>F61-F67</f>
        <v>1180158.99</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5502071.1699999999</v>
      </c>
      <c r="E64" s="117"/>
      <c r="F64" s="117">
        <f>VLOOKUP($B64,Sheet_Trialbal,3,0)</f>
        <v>658051.31000000006</v>
      </c>
      <c r="G64" s="117"/>
      <c r="H64" s="3324"/>
      <c r="I64" s="3325"/>
      <c r="J64" s="101" t="s">
        <v>5063</v>
      </c>
    </row>
    <row r="65" spans="1:10" ht="18">
      <c r="A65" s="30"/>
      <c r="B65" s="116">
        <v>6799</v>
      </c>
      <c r="C65" s="113" t="s">
        <v>871</v>
      </c>
      <c r="D65" s="117">
        <f>VLOOKUP($B65,Sheet_Trialbal,10,0)</f>
        <v>5463681.9299999997</v>
      </c>
      <c r="E65" s="117"/>
      <c r="F65" s="117">
        <f>VLOOKUP($B65,Sheet_Trialbal,3,0)</f>
        <v>1747379.72</v>
      </c>
      <c r="G65" s="117"/>
      <c r="H65" s="3324"/>
      <c r="I65" s="3325"/>
      <c r="J65" s="101" t="s">
        <v>5063</v>
      </c>
    </row>
    <row r="66" spans="1:10" ht="18">
      <c r="A66" s="30"/>
      <c r="B66" s="116">
        <v>6811</v>
      </c>
      <c r="C66" s="113" t="s">
        <v>5077</v>
      </c>
      <c r="D66" s="117">
        <f>VLOOKUP($B66,Sheet_Trialbal,10,0)</f>
        <v>5463681.9299999997</v>
      </c>
      <c r="E66" s="117"/>
      <c r="F66" s="117">
        <f>VLOOKUP($B66,Sheet_Trialbal,3,0)</f>
        <v>1747379.72</v>
      </c>
      <c r="G66" s="117"/>
      <c r="H66" s="34"/>
      <c r="I66" s="56"/>
      <c r="J66" s="96"/>
    </row>
    <row r="67" spans="1:10" ht="18">
      <c r="A67" s="30"/>
      <c r="B67" s="116">
        <v>6401</v>
      </c>
      <c r="C67" s="113" t="s">
        <v>671</v>
      </c>
      <c r="D67" s="117">
        <f t="shared" si="0"/>
        <v>4316544.09</v>
      </c>
      <c r="E67" s="117"/>
      <c r="F67" s="117">
        <f t="shared" si="1"/>
        <v>1009661.4</v>
      </c>
      <c r="G67" s="117"/>
      <c r="H67" s="3320"/>
      <c r="I67" s="3321"/>
      <c r="J67" s="96"/>
    </row>
    <row r="68" spans="1:10" ht="18">
      <c r="A68" s="30"/>
      <c r="B68" s="116">
        <v>6601</v>
      </c>
      <c r="C68" s="113" t="s">
        <v>680</v>
      </c>
      <c r="D68" s="117">
        <f t="shared" si="0"/>
        <v>494261.11</v>
      </c>
      <c r="E68" s="117"/>
      <c r="F68" s="117">
        <f t="shared" si="1"/>
        <v>0</v>
      </c>
      <c r="G68" s="117"/>
      <c r="H68" s="3320"/>
      <c r="I68" s="3321"/>
      <c r="J68" s="96"/>
    </row>
    <row r="69" spans="1:10" ht="18">
      <c r="A69" s="30"/>
      <c r="B69" s="116">
        <v>6602</v>
      </c>
      <c r="C69" s="113" t="s">
        <v>685</v>
      </c>
      <c r="D69" s="117">
        <f t="shared" si="0"/>
        <v>6359.38</v>
      </c>
      <c r="E69" s="117"/>
      <c r="F69" s="117">
        <f t="shared" si="1"/>
        <v>419878.21</v>
      </c>
      <c r="G69" s="117"/>
      <c r="H69" s="3320"/>
      <c r="I69" s="3321"/>
      <c r="J69" s="96"/>
    </row>
    <row r="70" spans="1:10" ht="18">
      <c r="A70" s="30"/>
      <c r="B70" s="121">
        <v>7399</v>
      </c>
      <c r="C70" s="122" t="s">
        <v>2272</v>
      </c>
      <c r="D70" s="123">
        <f t="shared" si="0"/>
        <v>799162.6</v>
      </c>
      <c r="E70" s="123"/>
      <c r="F70" s="123">
        <f t="shared" si="1"/>
        <v>379964.14</v>
      </c>
      <c r="G70" s="123"/>
      <c r="H70" s="3322"/>
      <c r="I70" s="3323"/>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北京鼎竑信息技术有限公司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799162.6</v>
      </c>
      <c r="E13" s="152">
        <f>IF(D$55=0,"",D13/D$55)</f>
        <v>9.6600000000000005E-2</v>
      </c>
      <c r="F13" s="70">
        <f t="shared" ref="F13:F27" si="3">VLOOKUP($B13,Sheet_Trialbal,6,0)</f>
        <v>0</v>
      </c>
      <c r="G13" s="152" t="str">
        <f>IF(F$55=0,"",F13/F$55)</f>
        <v/>
      </c>
      <c r="H13" s="152" t="str">
        <f t="shared" ref="H13:H30" si="4">IF(OR(G13="",E13=""),"",G13-E13)</f>
        <v/>
      </c>
      <c r="I13" s="70">
        <f t="shared" ref="I13" si="5">IF(OR(F13="",D13=""),"",F13-D13)</f>
        <v>-799162.6</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5191249.5199999996</v>
      </c>
      <c r="E18" s="152">
        <f t="shared" si="6"/>
        <v>0.62780000000000002</v>
      </c>
      <c r="F18" s="70">
        <f t="shared" si="3"/>
        <v>0</v>
      </c>
      <c r="G18" s="152" t="str">
        <f t="shared" si="7"/>
        <v/>
      </c>
      <c r="H18" s="152" t="str">
        <f t="shared" si="8"/>
        <v/>
      </c>
      <c r="I18" s="70">
        <f t="shared" si="9"/>
        <v>-5191249.5199999996</v>
      </c>
      <c r="J18" s="152">
        <f t="shared" si="10"/>
        <v>-1</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t="str">
        <f t="shared" si="7"/>
        <v/>
      </c>
      <c r="H20" s="152" t="str">
        <f t="shared" si="8"/>
        <v/>
      </c>
      <c r="I20" s="70">
        <f t="shared" si="9"/>
        <v>0</v>
      </c>
      <c r="J20" s="152" t="str">
        <f t="shared" si="10"/>
        <v/>
      </c>
      <c r="K20" s="163"/>
    </row>
    <row r="21" spans="1:11" ht="18">
      <c r="A21" s="30"/>
      <c r="B21" s="150">
        <v>1220</v>
      </c>
      <c r="C21" s="151" t="str">
        <f>IF($B21="","",VLOOKUP($B21,Sheet_Items,2,0))</f>
        <v>其他应收款（报表项目）</v>
      </c>
      <c r="D21" s="70">
        <f t="shared" si="2"/>
        <v>70022.3</v>
      </c>
      <c r="E21" s="152">
        <f t="shared" si="6"/>
        <v>8.5000000000000006E-3</v>
      </c>
      <c r="F21" s="70">
        <f t="shared" si="3"/>
        <v>0</v>
      </c>
      <c r="G21" s="152" t="str">
        <f t="shared" si="7"/>
        <v/>
      </c>
      <c r="H21" s="152" t="str">
        <f t="shared" si="8"/>
        <v/>
      </c>
      <c r="I21" s="70">
        <f t="shared" si="9"/>
        <v>-70022.3</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6060434.4199999999</v>
      </c>
      <c r="E28" s="155">
        <f t="shared" ref="E28:I28" si="11">SUM(E13:E27)-SUM(E22,E23)</f>
        <v>0.7329</v>
      </c>
      <c r="F28" s="154">
        <f t="shared" si="11"/>
        <v>0</v>
      </c>
      <c r="G28" s="155">
        <f t="shared" si="11"/>
        <v>0</v>
      </c>
      <c r="H28" s="155">
        <f t="shared" si="11"/>
        <v>0</v>
      </c>
      <c r="I28" s="154">
        <f t="shared" si="11"/>
        <v>-6060434.4199999999</v>
      </c>
      <c r="J28" s="155">
        <f t="shared" si="1"/>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t="str">
        <f t="shared" ref="G30" si="16">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t="str">
        <f t="shared" ref="G31:G53" si="18">IF(F$55=0,"",F31/F$55)</f>
        <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t="str">
        <f t="shared" si="18"/>
        <v/>
      </c>
      <c r="H32" s="152" t="str">
        <f t="shared" si="19"/>
        <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t="str">
        <f t="shared" si="18"/>
        <v/>
      </c>
      <c r="H33" s="152" t="str">
        <f t="shared" si="19"/>
        <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t="str">
        <f t="shared" si="18"/>
        <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t="str">
        <f t="shared" si="18"/>
        <v/>
      </c>
      <c r="H35" s="152" t="str">
        <f t="shared" si="19"/>
        <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t="str">
        <f t="shared" si="18"/>
        <v/>
      </c>
      <c r="H36" s="152" t="str">
        <f t="shared" si="19"/>
        <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t="str">
        <f t="shared" si="18"/>
        <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t="str">
        <f t="shared" si="18"/>
        <v/>
      </c>
      <c r="H38" s="152" t="str">
        <f t="shared" si="19"/>
        <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t="str">
        <f t="shared" si="18"/>
        <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2260.42</v>
      </c>
      <c r="E40" s="152">
        <f t="shared" si="17"/>
        <v>2.9999999999999997E-4</v>
      </c>
      <c r="F40" s="70">
        <f t="shared" si="15"/>
        <v>0</v>
      </c>
      <c r="G40" s="152" t="str">
        <f t="shared" si="18"/>
        <v/>
      </c>
      <c r="H40" s="152" t="str">
        <f t="shared" si="19"/>
        <v/>
      </c>
      <c r="I40" s="70">
        <f t="shared" si="20"/>
        <v>-2260.42</v>
      </c>
      <c r="J40" s="152">
        <f t="shared" si="21"/>
        <v>-1</v>
      </c>
      <c r="K40" s="163"/>
    </row>
    <row r="41" spans="1:11" ht="18">
      <c r="A41" s="30"/>
      <c r="B41" s="150">
        <v>1601</v>
      </c>
      <c r="C41" s="151" t="str">
        <f>IF($B41="","",VLOOKUP($B41,Sheet_Items,6,0))</f>
        <v>其中：固定资产</v>
      </c>
      <c r="D41" s="70">
        <f t="shared" si="13"/>
        <v>2260.42</v>
      </c>
      <c r="E41" s="152">
        <f t="shared" si="17"/>
        <v>2.9999999999999997E-4</v>
      </c>
      <c r="F41" s="70">
        <f t="shared" si="15"/>
        <v>0</v>
      </c>
      <c r="G41" s="152" t="str">
        <f t="shared" si="18"/>
        <v/>
      </c>
      <c r="H41" s="152" t="str">
        <f t="shared" si="19"/>
        <v/>
      </c>
      <c r="I41" s="70">
        <f t="shared" si="20"/>
        <v>-2260.42</v>
      </c>
      <c r="J41" s="152">
        <f t="shared" si="21"/>
        <v>-1</v>
      </c>
      <c r="K41" s="163"/>
    </row>
    <row r="42" spans="1:11" ht="18">
      <c r="A42" s="30"/>
      <c r="B42" s="150">
        <v>1606</v>
      </c>
      <c r="C42" s="151" t="str">
        <f>IF($B42="","",VLOOKUP($B42,Sheet_Items,6,0))</f>
        <v>固定资产清理</v>
      </c>
      <c r="D42" s="70">
        <f t="shared" si="13"/>
        <v>0</v>
      </c>
      <c r="E42" s="152">
        <f t="shared" si="17"/>
        <v>0</v>
      </c>
      <c r="F42" s="70">
        <f t="shared" si="15"/>
        <v>0</v>
      </c>
      <c r="G42" s="152" t="str">
        <f t="shared" si="18"/>
        <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t="str">
        <f t="shared" si="18"/>
        <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t="str">
        <f t="shared" si="18"/>
        <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t="str">
        <f t="shared" si="18"/>
        <v/>
      </c>
      <c r="H45" s="152" t="str">
        <f t="shared" si="19"/>
        <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t="str">
        <f t="shared" si="18"/>
        <v/>
      </c>
      <c r="H46" s="152" t="str">
        <f t="shared" si="19"/>
        <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t="str">
        <f t="shared" si="18"/>
        <v/>
      </c>
      <c r="H47" s="152" t="str">
        <f t="shared" si="19"/>
        <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t="str">
        <f t="shared" si="18"/>
        <v/>
      </c>
      <c r="H48" s="152" t="str">
        <f t="shared" si="19"/>
        <v/>
      </c>
      <c r="I48" s="70">
        <f t="shared" si="20"/>
        <v>0</v>
      </c>
      <c r="J48" s="152" t="str">
        <f t="shared" si="21"/>
        <v/>
      </c>
      <c r="K48" s="163"/>
    </row>
    <row r="49" spans="1:11" ht="18">
      <c r="A49" s="30"/>
      <c r="B49" s="150">
        <v>1700</v>
      </c>
      <c r="C49" s="151" t="str">
        <f t="shared" si="0"/>
        <v>开发支出</v>
      </c>
      <c r="D49" s="70">
        <f t="shared" si="13"/>
        <v>2185457.56</v>
      </c>
      <c r="E49" s="152">
        <f t="shared" si="17"/>
        <v>0.26429999999999998</v>
      </c>
      <c r="F49" s="70">
        <f t="shared" si="15"/>
        <v>0</v>
      </c>
      <c r="G49" s="152" t="str">
        <f t="shared" si="18"/>
        <v/>
      </c>
      <c r="H49" s="152" t="str">
        <f t="shared" si="19"/>
        <v/>
      </c>
      <c r="I49" s="70">
        <f t="shared" si="20"/>
        <v>-2185457.56</v>
      </c>
      <c r="J49" s="152">
        <f t="shared" si="21"/>
        <v>-1</v>
      </c>
      <c r="K49" s="163"/>
    </row>
    <row r="50" spans="1:11" ht="18">
      <c r="A50" s="30"/>
      <c r="B50" s="150">
        <v>1711</v>
      </c>
      <c r="C50" s="151" t="str">
        <f t="shared" si="0"/>
        <v>商誉</v>
      </c>
      <c r="D50" s="70">
        <f t="shared" si="13"/>
        <v>0</v>
      </c>
      <c r="E50" s="152">
        <f t="shared" si="17"/>
        <v>0</v>
      </c>
      <c r="F50" s="70">
        <f t="shared" si="15"/>
        <v>0</v>
      </c>
      <c r="G50" s="152" t="str">
        <f t="shared" si="18"/>
        <v/>
      </c>
      <c r="H50" s="152" t="str">
        <f t="shared" si="19"/>
        <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t="str">
        <f t="shared" si="18"/>
        <v/>
      </c>
      <c r="H51" s="152" t="str">
        <f t="shared" si="19"/>
        <v/>
      </c>
      <c r="I51" s="70">
        <f t="shared" si="20"/>
        <v>0</v>
      </c>
      <c r="J51" s="152" t="str">
        <f t="shared" si="21"/>
        <v/>
      </c>
      <c r="K51" s="163"/>
    </row>
    <row r="52" spans="1:11" ht="18">
      <c r="A52" s="30"/>
      <c r="B52" s="150">
        <v>1811</v>
      </c>
      <c r="C52" s="151" t="str">
        <f t="shared" si="0"/>
        <v>递延所得税资产</v>
      </c>
      <c r="D52" s="70">
        <f t="shared" si="13"/>
        <v>20659.91</v>
      </c>
      <c r="E52" s="152">
        <f t="shared" si="17"/>
        <v>2.5000000000000001E-3</v>
      </c>
      <c r="F52" s="70">
        <f t="shared" si="15"/>
        <v>0</v>
      </c>
      <c r="G52" s="152" t="str">
        <f t="shared" si="18"/>
        <v/>
      </c>
      <c r="H52" s="152" t="str">
        <f t="shared" si="19"/>
        <v/>
      </c>
      <c r="I52" s="70">
        <f t="shared" si="20"/>
        <v>-20659.91</v>
      </c>
      <c r="J52" s="152">
        <f t="shared" si="21"/>
        <v>-1</v>
      </c>
      <c r="K52" s="163"/>
    </row>
    <row r="53" spans="1:11" ht="18">
      <c r="A53" s="30"/>
      <c r="B53" s="150">
        <v>1996</v>
      </c>
      <c r="C53" s="151" t="str">
        <f t="shared" si="0"/>
        <v>其他非流动资产</v>
      </c>
      <c r="D53" s="70">
        <f t="shared" si="13"/>
        <v>0</v>
      </c>
      <c r="E53" s="152">
        <f t="shared" si="17"/>
        <v>0</v>
      </c>
      <c r="F53" s="70">
        <f t="shared" si="15"/>
        <v>0</v>
      </c>
      <c r="G53" s="152" t="str">
        <f t="shared" si="18"/>
        <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2208377.89</v>
      </c>
      <c r="E54" s="156">
        <f t="shared" ref="E54:I54" si="23">SUM(E30:E53)-SUM(E41,E42,E44,E45)</f>
        <v>0.2671</v>
      </c>
      <c r="F54" s="154">
        <f t="shared" si="23"/>
        <v>0</v>
      </c>
      <c r="G54" s="156">
        <f t="shared" si="23"/>
        <v>0</v>
      </c>
      <c r="H54" s="156">
        <f t="shared" si="23"/>
        <v>0</v>
      </c>
      <c r="I54" s="154">
        <f t="shared" si="23"/>
        <v>-2208377.89</v>
      </c>
      <c r="J54" s="152">
        <f t="shared" si="1"/>
        <v>-1</v>
      </c>
      <c r="K54" s="163"/>
    </row>
    <row r="55" spans="1:11" ht="18">
      <c r="A55" s="30"/>
      <c r="B55" s="150">
        <v>1999</v>
      </c>
      <c r="C55" s="153" t="str">
        <f t="shared" si="22"/>
        <v>资产总计</v>
      </c>
      <c r="D55" s="154">
        <f t="shared" ref="D55:I55" si="24">SUM(D28,D54)</f>
        <v>8268812.3099999996</v>
      </c>
      <c r="E55" s="156">
        <f t="shared" si="24"/>
        <v>1</v>
      </c>
      <c r="F55" s="154">
        <f t="shared" si="24"/>
        <v>0</v>
      </c>
      <c r="G55" s="156">
        <f t="shared" si="24"/>
        <v>0</v>
      </c>
      <c r="H55" s="156">
        <f t="shared" si="24"/>
        <v>0</v>
      </c>
      <c r="I55" s="154">
        <f t="shared" si="24"/>
        <v>-8268812.3099999996</v>
      </c>
      <c r="J55" s="155">
        <f t="shared" si="1"/>
        <v>-1</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t="str">
        <f>IF(F$85=0,"",F57/F$85)</f>
        <v/>
      </c>
      <c r="H57" s="152" t="str">
        <f t="shared" si="25"/>
        <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t="str">
        <f t="shared" ref="G58:G71" si="31">IF(F$85=0,"",F58/F$85)</f>
        <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t="str">
        <f t="shared" si="31"/>
        <v/>
      </c>
      <c r="H59" s="152" t="str">
        <f t="shared" si="32"/>
        <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t="str">
        <f t="shared" si="31"/>
        <v/>
      </c>
      <c r="H60" s="152" t="str">
        <f t="shared" si="32"/>
        <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t="str">
        <f t="shared" si="31"/>
        <v/>
      </c>
      <c r="H61" s="152" t="str">
        <f t="shared" si="32"/>
        <v/>
      </c>
      <c r="I61" s="70">
        <f t="shared" si="33"/>
        <v>0</v>
      </c>
      <c r="J61" s="152" t="str">
        <f t="shared" si="34"/>
        <v/>
      </c>
      <c r="K61" s="163"/>
    </row>
    <row r="62" spans="1:11" ht="18">
      <c r="A62" s="30"/>
      <c r="B62" s="150">
        <v>2202</v>
      </c>
      <c r="C62" s="151" t="str">
        <f t="shared" si="22"/>
        <v>应付账款</v>
      </c>
      <c r="D62" s="70">
        <f t="shared" si="28"/>
        <v>0</v>
      </c>
      <c r="E62" s="152">
        <f t="shared" si="30"/>
        <v>0</v>
      </c>
      <c r="F62" s="70">
        <f t="shared" si="29"/>
        <v>0</v>
      </c>
      <c r="G62" s="152" t="str">
        <f t="shared" si="31"/>
        <v/>
      </c>
      <c r="H62" s="152" t="str">
        <f t="shared" si="32"/>
        <v/>
      </c>
      <c r="I62" s="70">
        <f t="shared" si="33"/>
        <v>0</v>
      </c>
      <c r="J62" s="152" t="str">
        <f t="shared" si="34"/>
        <v/>
      </c>
      <c r="K62" s="163"/>
    </row>
    <row r="63" spans="1:11" ht="18">
      <c r="A63" s="30"/>
      <c r="B63" s="150">
        <v>2205</v>
      </c>
      <c r="C63" s="151" t="str">
        <f t="shared" si="22"/>
        <v>预收款项</v>
      </c>
      <c r="D63" s="70">
        <f t="shared" si="28"/>
        <v>214017.93</v>
      </c>
      <c r="E63" s="152">
        <f t="shared" si="30"/>
        <v>2.2100000000000002E-2</v>
      </c>
      <c r="F63" s="70">
        <f t="shared" si="29"/>
        <v>0</v>
      </c>
      <c r="G63" s="152" t="str">
        <f t="shared" si="31"/>
        <v/>
      </c>
      <c r="H63" s="152" t="str">
        <f t="shared" si="32"/>
        <v/>
      </c>
      <c r="I63" s="70">
        <f t="shared" si="33"/>
        <v>-214017.93</v>
      </c>
      <c r="J63" s="152">
        <f t="shared" si="34"/>
        <v>-1</v>
      </c>
      <c r="K63" s="163"/>
    </row>
    <row r="64" spans="1:11" ht="18">
      <c r="A64" s="30"/>
      <c r="B64" s="150">
        <v>2211</v>
      </c>
      <c r="C64" s="151" t="str">
        <f t="shared" si="22"/>
        <v>应付职工薪酬</v>
      </c>
      <c r="D64" s="70">
        <f t="shared" si="28"/>
        <v>1303107.67</v>
      </c>
      <c r="E64" s="152">
        <f t="shared" si="30"/>
        <v>0.1343</v>
      </c>
      <c r="F64" s="70">
        <f t="shared" si="29"/>
        <v>0</v>
      </c>
      <c r="G64" s="152" t="str">
        <f t="shared" si="31"/>
        <v/>
      </c>
      <c r="H64" s="152" t="str">
        <f t="shared" si="32"/>
        <v/>
      </c>
      <c r="I64" s="70">
        <f t="shared" si="33"/>
        <v>-1303107.67</v>
      </c>
      <c r="J64" s="152">
        <f t="shared" si="34"/>
        <v>-1</v>
      </c>
      <c r="K64" s="163"/>
    </row>
    <row r="65" spans="1:11" ht="18">
      <c r="A65" s="30"/>
      <c r="B65" s="150">
        <v>2221</v>
      </c>
      <c r="C65" s="151" t="str">
        <f t="shared" si="22"/>
        <v>应交税费</v>
      </c>
      <c r="D65" s="70">
        <f t="shared" si="28"/>
        <v>236130.57</v>
      </c>
      <c r="E65" s="152">
        <f t="shared" si="30"/>
        <v>2.4299999999999999E-2</v>
      </c>
      <c r="F65" s="70">
        <f t="shared" si="29"/>
        <v>0</v>
      </c>
      <c r="G65" s="152" t="str">
        <f t="shared" si="31"/>
        <v/>
      </c>
      <c r="H65" s="152" t="str">
        <f t="shared" si="32"/>
        <v/>
      </c>
      <c r="I65" s="70">
        <f t="shared" si="33"/>
        <v>-236130.57</v>
      </c>
      <c r="J65" s="152">
        <f t="shared" si="34"/>
        <v>-1</v>
      </c>
      <c r="K65" s="163"/>
    </row>
    <row r="66" spans="1:11" ht="18">
      <c r="A66" s="30"/>
      <c r="B66" s="150">
        <v>2246</v>
      </c>
      <c r="C66" s="151" t="str">
        <f>IF($B66="","",VLOOKUP($B66,Sheet_Items,2,0))</f>
        <v>其他应付款（报表项目）</v>
      </c>
      <c r="D66" s="70">
        <f t="shared" si="28"/>
        <v>7949525.4100000001</v>
      </c>
      <c r="E66" s="152">
        <f t="shared" si="30"/>
        <v>0.81930000000000003</v>
      </c>
      <c r="F66" s="70">
        <f t="shared" si="29"/>
        <v>0</v>
      </c>
      <c r="G66" s="152" t="str">
        <f t="shared" si="31"/>
        <v/>
      </c>
      <c r="H66" s="152" t="str">
        <f t="shared" si="32"/>
        <v/>
      </c>
      <c r="I66" s="70">
        <f t="shared" si="33"/>
        <v>-7949525.4100000001</v>
      </c>
      <c r="J66" s="152">
        <f t="shared" si="34"/>
        <v>-1</v>
      </c>
      <c r="K66" s="163"/>
    </row>
    <row r="67" spans="1:11" ht="18">
      <c r="A67" s="30"/>
      <c r="B67" s="150">
        <v>2231</v>
      </c>
      <c r="C67" s="151" t="str">
        <f t="shared" si="22"/>
        <v>其中：应付利息</v>
      </c>
      <c r="D67" s="70">
        <f t="shared" si="28"/>
        <v>0</v>
      </c>
      <c r="E67" s="152">
        <f t="shared" si="30"/>
        <v>0</v>
      </c>
      <c r="F67" s="70">
        <f t="shared" si="29"/>
        <v>0</v>
      </c>
      <c r="G67" s="152" t="str">
        <f t="shared" si="31"/>
        <v/>
      </c>
      <c r="H67" s="152" t="str">
        <f t="shared" si="32"/>
        <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t="str">
        <f t="shared" si="31"/>
        <v/>
      </c>
      <c r="H68" s="152" t="str">
        <f t="shared" si="32"/>
        <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t="str">
        <f t="shared" si="31"/>
        <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t="str">
        <f t="shared" si="31"/>
        <v/>
      </c>
      <c r="H70" s="152" t="str">
        <f t="shared" si="32"/>
        <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t="str">
        <f t="shared" si="31"/>
        <v/>
      </c>
      <c r="H71" s="152" t="str">
        <f t="shared" si="32"/>
        <v/>
      </c>
      <c r="I71" s="70">
        <f t="shared" si="33"/>
        <v>0</v>
      </c>
      <c r="J71" s="152" t="str">
        <f t="shared" si="34"/>
        <v/>
      </c>
      <c r="K71" s="163"/>
    </row>
    <row r="72" spans="1:11" ht="18">
      <c r="A72" s="30"/>
      <c r="B72" s="150">
        <v>2498</v>
      </c>
      <c r="C72" s="153" t="str">
        <f t="shared" si="22"/>
        <v>流动负债合计</v>
      </c>
      <c r="D72" s="154">
        <f>SUM(D57:D71)-SUM(D67,D68)</f>
        <v>9702781.5800000001</v>
      </c>
      <c r="E72" s="156">
        <f t="shared" ref="E72:I72" si="35">SUM(E57:E71)-SUM(E67,E68)</f>
        <v>1</v>
      </c>
      <c r="F72" s="154">
        <f t="shared" si="35"/>
        <v>0</v>
      </c>
      <c r="G72" s="156">
        <f t="shared" si="35"/>
        <v>0</v>
      </c>
      <c r="H72" s="156">
        <f t="shared" si="35"/>
        <v>0</v>
      </c>
      <c r="I72" s="154">
        <f t="shared" si="35"/>
        <v>-9702781.5800000001</v>
      </c>
      <c r="J72" s="152">
        <f t="shared" si="27"/>
        <v>-1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t="str">
        <f>IF(F$85=0,"",F74/F$85)</f>
        <v/>
      </c>
      <c r="H74" s="152" t="str">
        <f t="shared" si="36"/>
        <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t="str">
        <f t="shared" ref="G75:G83" si="41">IF(F$85=0,"",F75/F$85)</f>
        <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t="str">
        <f t="shared" si="41"/>
        <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t="str">
        <f t="shared" si="41"/>
        <v/>
      </c>
      <c r="H77" s="152" t="str">
        <f t="shared" si="42"/>
        <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t="str">
        <f t="shared" si="41"/>
        <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t="str">
        <f t="shared" si="41"/>
        <v/>
      </c>
      <c r="H79" s="152" t="str">
        <f t="shared" si="42"/>
        <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t="str">
        <f t="shared" si="41"/>
        <v/>
      </c>
      <c r="H80" s="152" t="str">
        <f t="shared" si="42"/>
        <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t="str">
        <f t="shared" si="41"/>
        <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t="str">
        <f t="shared" si="41"/>
        <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t="str">
        <f t="shared" si="41"/>
        <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9702781.5800000001</v>
      </c>
      <c r="E85" s="156">
        <f>SUM(E72,E84)</f>
        <v>1</v>
      </c>
      <c r="F85" s="154">
        <f>SUM(F72,F84)</f>
        <v>0</v>
      </c>
      <c r="G85" s="156">
        <f>SUM(G72,G84)</f>
        <v>0</v>
      </c>
      <c r="H85" s="156"/>
      <c r="I85" s="154">
        <f>SUM(I72,I84)</f>
        <v>-9702781.5800000001</v>
      </c>
      <c r="J85" s="155">
        <f t="shared" si="27"/>
        <v>-1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1000000</v>
      </c>
      <c r="E87" s="152">
        <f>IF(D$98=0,"",D87/D$98)</f>
        <v>-0.69740000000000002</v>
      </c>
      <c r="F87" s="70">
        <f t="shared" ref="F87:F97" si="48">VLOOKUP($B87,Sheet_Trialbal,6,0)</f>
        <v>0</v>
      </c>
      <c r="G87" s="152">
        <f>IF(F$98=0,"",F87/F$98)</f>
        <v>0</v>
      </c>
      <c r="H87" s="152">
        <f t="shared" si="45"/>
        <v>0.69740000000000002</v>
      </c>
      <c r="I87" s="70">
        <f t="shared" si="46"/>
        <v>-1000000</v>
      </c>
      <c r="J87" s="152">
        <f t="shared" si="27"/>
        <v>-1</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-2433969.27</v>
      </c>
      <c r="E95" s="152">
        <f t="shared" si="49"/>
        <v>1.6974</v>
      </c>
      <c r="F95" s="70">
        <f t="shared" si="48"/>
        <v>1747379.72</v>
      </c>
      <c r="G95" s="152">
        <f t="shared" si="50"/>
        <v>1</v>
      </c>
      <c r="H95" s="152">
        <f t="shared" si="51"/>
        <v>-0.69740000000000002</v>
      </c>
      <c r="I95" s="70">
        <f t="shared" si="52"/>
        <v>4181348.99</v>
      </c>
      <c r="J95" s="152">
        <f t="shared" si="53"/>
        <v>-1.7179</v>
      </c>
      <c r="K95" s="163"/>
    </row>
    <row r="96" spans="1:11" ht="18">
      <c r="A96" s="30"/>
      <c r="B96" s="150">
        <v>4298</v>
      </c>
      <c r="C96" s="164" t="str">
        <f t="shared" si="54"/>
        <v>归属于母公司所有者权益合计</v>
      </c>
      <c r="D96" s="154">
        <f>SUM(D87:D89,-D90,D91:D95)</f>
        <v>-1433969.27</v>
      </c>
      <c r="E96" s="155">
        <f t="shared" ref="E96:E97" si="55">IF(D$98=0,"",D96/D$98)</f>
        <v>1</v>
      </c>
      <c r="F96" s="154">
        <f>SUM(F87:F89,-F90,F91:F95)</f>
        <v>1747379.72</v>
      </c>
      <c r="G96" s="155">
        <f t="shared" ref="G96:G97" si="56">IF(F$98=0,"",F96/F$98)</f>
        <v>1</v>
      </c>
      <c r="H96" s="155">
        <f t="shared" si="45"/>
        <v>0</v>
      </c>
      <c r="I96" s="154">
        <f>SUM(I87:I89,-I90,I91:I95)</f>
        <v>3181348.99</v>
      </c>
      <c r="J96" s="152">
        <f t="shared" si="27"/>
        <v>-2.2185999999999999</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-1433969.27</v>
      </c>
      <c r="E98" s="156">
        <f t="shared" si="60"/>
        <v>1</v>
      </c>
      <c r="F98" s="154">
        <f t="shared" si="60"/>
        <v>1747379.72</v>
      </c>
      <c r="G98" s="156">
        <f t="shared" si="60"/>
        <v>1</v>
      </c>
      <c r="H98" s="156">
        <f t="shared" si="60"/>
        <v>0</v>
      </c>
      <c r="I98" s="154">
        <f t="shared" si="60"/>
        <v>3181348.99</v>
      </c>
      <c r="J98" s="152">
        <f t="shared" si="27"/>
        <v>-2.2185999999999999</v>
      </c>
      <c r="K98" s="163"/>
    </row>
    <row r="99" spans="1:11" ht="18">
      <c r="A99" s="30"/>
      <c r="B99" s="150">
        <v>5000</v>
      </c>
      <c r="C99" s="153" t="str">
        <f t="shared" si="54"/>
        <v>负债和所有者权益总计</v>
      </c>
      <c r="D99" s="154">
        <f>SUM(D85,D98)</f>
        <v>8268812.3099999996</v>
      </c>
      <c r="E99" s="152"/>
      <c r="F99" s="154">
        <f>SUM(F85,F98)</f>
        <v>1747379.72</v>
      </c>
      <c r="G99" s="152"/>
      <c r="H99" s="152" t="str">
        <f t="shared" ref="H99:H101" si="61">IF(OR(G99="",E99=""),"",G99-E99)</f>
        <v/>
      </c>
      <c r="I99" s="154">
        <f>SUM(I85,I98)</f>
        <v>-6521432.5899999999</v>
      </c>
      <c r="J99" s="152">
        <f t="shared" si="27"/>
        <v>-0.78869999999999996</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10519044.27</v>
      </c>
      <c r="E101" s="152"/>
      <c r="F101" s="70">
        <f t="shared" ref="F101:F114" si="66">VLOOKUP($B101,Sheet_Trialbal,6,0)</f>
        <v>2189820.39</v>
      </c>
      <c r="G101" s="152"/>
      <c r="H101" s="152" t="str">
        <f t="shared" si="61"/>
        <v/>
      </c>
      <c r="I101" s="70">
        <f t="shared" si="62"/>
        <v>-8329223.8799999999</v>
      </c>
      <c r="J101" s="152">
        <f t="shared" si="63"/>
        <v>-0.79179999999999995</v>
      </c>
      <c r="K101" s="163"/>
    </row>
    <row r="102" spans="1:11" ht="18">
      <c r="A102" s="30"/>
      <c r="B102" s="150">
        <v>6401</v>
      </c>
      <c r="C102" s="151" t="str">
        <f t="shared" si="64"/>
        <v>营业成本</v>
      </c>
      <c r="D102" s="70">
        <f t="shared" si="65"/>
        <v>4316544.09</v>
      </c>
      <c r="E102" s="152"/>
      <c r="F102" s="70">
        <f t="shared" si="66"/>
        <v>1009661.4</v>
      </c>
      <c r="G102" s="152"/>
      <c r="H102" s="152" t="str">
        <f t="shared" ref="H102:H114" si="67">IF(OR(G102="",E102=""),"",G102-E102)</f>
        <v/>
      </c>
      <c r="I102" s="70">
        <f t="shared" ref="I102:I114" si="68">IF(OR(F102="",D102=""),"",F102-D102)</f>
        <v>-3306882.69</v>
      </c>
      <c r="J102" s="152">
        <f t="shared" ref="J102:J114" si="69">IF(OR(I102="",D102="",D102=0),"",I102/D102)</f>
        <v>-0.7661</v>
      </c>
      <c r="K102" s="163"/>
    </row>
    <row r="103" spans="1:11" ht="18">
      <c r="A103" s="30"/>
      <c r="B103" s="150">
        <v>6600</v>
      </c>
      <c r="C103" s="151" t="str">
        <f t="shared" si="64"/>
        <v>税金及附加</v>
      </c>
      <c r="D103" s="70">
        <f t="shared" si="65"/>
        <v>42462.27</v>
      </c>
      <c r="E103" s="152"/>
      <c r="F103" s="70">
        <f t="shared" si="66"/>
        <v>147093.37</v>
      </c>
      <c r="G103" s="152"/>
      <c r="H103" s="152" t="str">
        <f t="shared" si="67"/>
        <v/>
      </c>
      <c r="I103" s="70">
        <f t="shared" si="68"/>
        <v>104631.1</v>
      </c>
      <c r="J103" s="152">
        <f t="shared" si="69"/>
        <v>2.4641000000000002</v>
      </c>
      <c r="K103" s="163"/>
    </row>
    <row r="104" spans="1:11" ht="18">
      <c r="A104" s="30"/>
      <c r="B104" s="150">
        <v>6601</v>
      </c>
      <c r="C104" s="151" t="str">
        <f t="shared" si="64"/>
        <v>销售费用</v>
      </c>
      <c r="D104" s="70">
        <f t="shared" si="65"/>
        <v>494261.11</v>
      </c>
      <c r="E104" s="152"/>
      <c r="F104" s="70">
        <f t="shared" si="66"/>
        <v>0</v>
      </c>
      <c r="G104" s="152"/>
      <c r="H104" s="152" t="str">
        <f t="shared" si="67"/>
        <v/>
      </c>
      <c r="I104" s="70">
        <f t="shared" si="68"/>
        <v>-494261.11</v>
      </c>
      <c r="J104" s="152">
        <f t="shared" si="69"/>
        <v>-1</v>
      </c>
      <c r="K104" s="163"/>
    </row>
    <row r="105" spans="1:11" ht="18">
      <c r="A105" s="30"/>
      <c r="B105" s="150">
        <v>6602</v>
      </c>
      <c r="C105" s="151" t="str">
        <f t="shared" si="64"/>
        <v>管理费用</v>
      </c>
      <c r="D105" s="70">
        <f t="shared" si="65"/>
        <v>6359.38</v>
      </c>
      <c r="E105" s="152"/>
      <c r="F105" s="70">
        <f t="shared" si="66"/>
        <v>419878.21</v>
      </c>
      <c r="G105" s="152"/>
      <c r="H105" s="152" t="str">
        <f t="shared" si="67"/>
        <v/>
      </c>
      <c r="I105" s="70">
        <f t="shared" si="68"/>
        <v>413518.83</v>
      </c>
      <c r="J105" s="152">
        <f t="shared" si="69"/>
        <v>65.025000000000006</v>
      </c>
      <c r="K105" s="163"/>
    </row>
    <row r="106" spans="1:11" ht="18">
      <c r="A106" s="30"/>
      <c r="B106" s="150">
        <v>6606</v>
      </c>
      <c r="C106" s="151" t="str">
        <f t="shared" si="64"/>
        <v>研发费用</v>
      </c>
      <c r="D106" s="70">
        <f t="shared" si="65"/>
        <v>121122.15</v>
      </c>
      <c r="E106" s="152"/>
      <c r="F106" s="70">
        <f t="shared" si="66"/>
        <v>0</v>
      </c>
      <c r="G106" s="152"/>
      <c r="H106" s="152" t="str">
        <f t="shared" si="67"/>
        <v/>
      </c>
      <c r="I106" s="70">
        <f t="shared" si="68"/>
        <v>-121122.15</v>
      </c>
      <c r="J106" s="152">
        <f t="shared" si="69"/>
        <v>-1</v>
      </c>
      <c r="K106" s="163"/>
    </row>
    <row r="107" spans="1:11" ht="18">
      <c r="A107" s="30"/>
      <c r="B107" s="150">
        <v>6603</v>
      </c>
      <c r="C107" s="151" t="str">
        <f t="shared" si="64"/>
        <v>财务费用</v>
      </c>
      <c r="D107" s="70">
        <f t="shared" si="65"/>
        <v>236.95</v>
      </c>
      <c r="E107" s="152"/>
      <c r="F107" s="70">
        <f t="shared" si="66"/>
        <v>1582.34</v>
      </c>
      <c r="G107" s="152"/>
      <c r="H107" s="152" t="str">
        <f t="shared" si="67"/>
        <v/>
      </c>
      <c r="I107" s="70">
        <f t="shared" si="68"/>
        <v>1345.39</v>
      </c>
      <c r="J107" s="152">
        <f t="shared" si="69"/>
        <v>5.6779000000000002</v>
      </c>
      <c r="K107" s="163"/>
    </row>
    <row r="108" spans="1:11" ht="18">
      <c r="A108" s="30"/>
      <c r="B108" s="150">
        <v>6181</v>
      </c>
      <c r="C108" s="151" t="str">
        <f t="shared" si="64"/>
        <v>其他收益</v>
      </c>
      <c r="D108" s="70">
        <f t="shared" si="65"/>
        <v>0</v>
      </c>
      <c r="E108" s="152"/>
      <c r="F108" s="70">
        <f t="shared" si="66"/>
        <v>41615.08</v>
      </c>
      <c r="G108" s="152"/>
      <c r="H108" s="152" t="str">
        <f t="shared" si="67"/>
        <v/>
      </c>
      <c r="I108" s="70">
        <f t="shared" si="68"/>
        <v>41615.08</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4831.16</v>
      </c>
      <c r="G112" s="152"/>
      <c r="H112" s="152" t="str">
        <f t="shared" si="67"/>
        <v/>
      </c>
      <c r="I112" s="70">
        <f t="shared" si="68"/>
        <v>4831.16</v>
      </c>
      <c r="J112" s="152" t="str">
        <f t="shared" si="69"/>
        <v/>
      </c>
      <c r="K112" s="163"/>
    </row>
    <row r="113" spans="1:11" ht="24">
      <c r="A113" s="30"/>
      <c r="B113" s="150">
        <v>6671</v>
      </c>
      <c r="C113" s="151" t="str">
        <f>IF($B113="","",VLOOKUP($B113,Sheet_Items,6,0))</f>
        <v>资产减值损失（损失以“-”号填列）</v>
      </c>
      <c r="D113" s="70">
        <f t="shared" si="65"/>
        <v>-35987.15</v>
      </c>
      <c r="E113" s="152"/>
      <c r="F113" s="70">
        <f t="shared" si="66"/>
        <v>0</v>
      </c>
      <c r="G113" s="152"/>
      <c r="H113" s="152" t="str">
        <f t="shared" si="67"/>
        <v/>
      </c>
      <c r="I113" s="70">
        <f t="shared" si="68"/>
        <v>35987.15</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5502071.1699999999</v>
      </c>
      <c r="E115" s="152">
        <f t="shared" ref="E115:I115" si="70">SUM(E101)-SUM(E102:E107)+SUM(E108:E114)</f>
        <v>0</v>
      </c>
      <c r="F115" s="154">
        <f t="shared" si="70"/>
        <v>658051.31000000006</v>
      </c>
      <c r="G115" s="152">
        <f t="shared" si="70"/>
        <v>0</v>
      </c>
      <c r="H115" s="152">
        <f t="shared" si="70"/>
        <v>0</v>
      </c>
      <c r="I115" s="154">
        <f t="shared" si="70"/>
        <v>-4844019.8600000003</v>
      </c>
      <c r="J115" s="152">
        <f t="shared" si="63"/>
        <v>-0.88039999999999996</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5502071.1699999999</v>
      </c>
      <c r="E118" s="152"/>
      <c r="F118" s="154">
        <f>SUM(F115,F116,-F117)</f>
        <v>658051.31000000006</v>
      </c>
      <c r="G118" s="152"/>
      <c r="H118" s="152" t="str">
        <f t="shared" si="71"/>
        <v/>
      </c>
      <c r="I118" s="154">
        <f>SUM(I115,I116,-I117)</f>
        <v>-4844019.8600000003</v>
      </c>
      <c r="J118" s="155">
        <f t="shared" si="63"/>
        <v>-0.88039999999999996</v>
      </c>
      <c r="K118" s="163"/>
    </row>
    <row r="119" spans="1:11" ht="18">
      <c r="A119" s="30"/>
      <c r="B119" s="150">
        <v>6791</v>
      </c>
      <c r="C119" s="151" t="str">
        <f t="shared" si="64"/>
        <v>所得税费用</v>
      </c>
      <c r="D119" s="70">
        <f>VLOOKUP($B119,Sheet_Trialbal,10,0)</f>
        <v>38389.24</v>
      </c>
      <c r="E119" s="152"/>
      <c r="F119" s="70">
        <f>VLOOKUP($B119,Sheet_Trialbal,6,0)</f>
        <v>-1089328.4099999999</v>
      </c>
      <c r="G119" s="152"/>
      <c r="H119" s="152" t="str">
        <f t="shared" si="71"/>
        <v/>
      </c>
      <c r="I119" s="70">
        <f t="shared" ref="I119:I125" si="72">IF(OR(F119="",D119=""),"",F119-D119)</f>
        <v>-1127717.6499999999</v>
      </c>
      <c r="J119" s="152">
        <f t="shared" si="63"/>
        <v>-29.375900000000001</v>
      </c>
      <c r="K119" s="163"/>
    </row>
    <row r="120" spans="1:11" ht="18">
      <c r="A120" s="30"/>
      <c r="B120" s="150">
        <v>6799</v>
      </c>
      <c r="C120" s="153" t="str">
        <f t="shared" si="64"/>
        <v>净利润</v>
      </c>
      <c r="D120" s="154">
        <f>SUM(D118,-D119)</f>
        <v>5463681.9299999997</v>
      </c>
      <c r="E120" s="152"/>
      <c r="F120" s="154">
        <f>SUM(F118,-F119)</f>
        <v>1747379.72</v>
      </c>
      <c r="G120" s="152"/>
      <c r="H120" s="152" t="str">
        <f t="shared" si="71"/>
        <v/>
      </c>
      <c r="I120" s="154">
        <f t="shared" si="72"/>
        <v>-3716302.21</v>
      </c>
      <c r="J120" s="155">
        <f t="shared" si="63"/>
        <v>-0.68020000000000003</v>
      </c>
      <c r="K120" s="163"/>
    </row>
    <row r="121" spans="1:11" ht="18">
      <c r="A121" s="30"/>
      <c r="B121" s="150">
        <v>6811</v>
      </c>
      <c r="C121" s="151" t="str">
        <f t="shared" si="64"/>
        <v>归属于母公司所有者的净利润</v>
      </c>
      <c r="D121" s="70">
        <f>VLOOKUP($B121,Sheet_Trialbal,10,0)</f>
        <v>5463681.9299999997</v>
      </c>
      <c r="E121" s="152"/>
      <c r="F121" s="70">
        <f>VLOOKUP($B121,Sheet_Trialbal,6,0)</f>
        <v>1747379.72</v>
      </c>
      <c r="G121" s="152"/>
      <c r="H121" s="152" t="str">
        <f t="shared" si="71"/>
        <v/>
      </c>
      <c r="I121" s="70">
        <f t="shared" si="72"/>
        <v>-3716302.21</v>
      </c>
      <c r="J121" s="152">
        <f t="shared" si="63"/>
        <v>-0.68020000000000003</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5463681.9299999997</v>
      </c>
      <c r="E124" s="152"/>
      <c r="F124" s="154">
        <f>SUM(F120,F123)</f>
        <v>1747379.72</v>
      </c>
      <c r="G124" s="152"/>
      <c r="H124" s="152" t="str">
        <f t="shared" si="71"/>
        <v/>
      </c>
      <c r="I124" s="154">
        <f t="shared" si="72"/>
        <v>-3716302.21</v>
      </c>
      <c r="J124" s="155">
        <f t="shared" si="63"/>
        <v>-0.68020000000000003</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北京鼎竑信息技术有限公司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10519044.27</v>
      </c>
      <c r="E10" s="70"/>
      <c r="F10" s="70">
        <f>VLOOKUP($B10,Sheet_Trialbal,6,0)</f>
        <v>2189820.39</v>
      </c>
      <c r="G10" s="70"/>
      <c r="H10" s="3324"/>
      <c r="I10" s="3325"/>
      <c r="J10" s="101" t="s">
        <v>5063</v>
      </c>
    </row>
    <row r="11" spans="1:10" ht="18">
      <c r="A11" s="30"/>
      <c r="B11" s="31"/>
      <c r="C11" s="72" t="s">
        <v>5076</v>
      </c>
      <c r="D11" s="70">
        <f>D10-D106</f>
        <v>6202500.1799999997</v>
      </c>
      <c r="E11" s="70"/>
      <c r="F11" s="70">
        <f>F10-F106</f>
        <v>1180158.99</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5502071.1699999999</v>
      </c>
      <c r="E13" s="70"/>
      <c r="F13" s="70">
        <f>VLOOKUP($B13,Sheet_Trialbal,6,0)</f>
        <v>658051.31000000006</v>
      </c>
      <c r="G13" s="70"/>
      <c r="H13" s="3324"/>
      <c r="I13" s="3325"/>
      <c r="J13" s="101" t="s">
        <v>5063</v>
      </c>
    </row>
    <row r="14" spans="1:10" ht="18">
      <c r="A14" s="30"/>
      <c r="B14" s="31">
        <v>6799</v>
      </c>
      <c r="C14" s="72" t="s">
        <v>871</v>
      </c>
      <c r="D14" s="70">
        <f>VLOOKUP($B14,Sheet_Trialbal,10,0)</f>
        <v>5463681.9299999997</v>
      </c>
      <c r="E14" s="70"/>
      <c r="F14" s="70">
        <f>VLOOKUP($B14,Sheet_Trialbal,6,0)</f>
        <v>1747379.72</v>
      </c>
      <c r="G14" s="70"/>
      <c r="H14" s="3324"/>
      <c r="I14" s="3325"/>
      <c r="J14" s="101" t="s">
        <v>5063</v>
      </c>
    </row>
    <row r="15" spans="1:10" ht="18">
      <c r="A15" s="30"/>
      <c r="B15" s="31">
        <v>6811</v>
      </c>
      <c r="C15" s="72" t="s">
        <v>5077</v>
      </c>
      <c r="D15" s="70">
        <f>VLOOKUP($B15,Sheet_Trialbal,10,0)</f>
        <v>5463681.9299999997</v>
      </c>
      <c r="E15" s="70"/>
      <c r="F15" s="70">
        <f>VLOOKUP($B15,Sheet_Trialbal,6,0)</f>
        <v>1747379.72</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0.58960000000000001</v>
      </c>
      <c r="E17" s="70"/>
      <c r="F17" s="75">
        <f>IF(F10=0,"",F11/F10)</f>
        <v>0.53890000000000005</v>
      </c>
      <c r="G17" s="70"/>
      <c r="H17" s="34"/>
      <c r="I17" s="56"/>
      <c r="J17" s="101" t="s">
        <v>5014</v>
      </c>
    </row>
    <row r="18" spans="1:10" ht="18">
      <c r="A18" s="30"/>
      <c r="B18" s="31"/>
      <c r="C18" s="72" t="s">
        <v>5015</v>
      </c>
      <c r="D18" s="75">
        <f>IF(D$10=0,"",D13/D$10)</f>
        <v>0.52310000000000001</v>
      </c>
      <c r="E18" s="70"/>
      <c r="F18" s="75">
        <f>IF(F$10=0,"",F13/F$10)</f>
        <v>0.30049999999999999</v>
      </c>
      <c r="G18" s="70"/>
      <c r="H18" s="34"/>
      <c r="I18" s="56"/>
      <c r="J18" s="101" t="s">
        <v>5016</v>
      </c>
    </row>
    <row r="19" spans="1:10" ht="18">
      <c r="A19" s="30"/>
      <c r="B19" s="31"/>
      <c r="C19" s="72" t="s">
        <v>5017</v>
      </c>
      <c r="D19" s="75">
        <f>IF(D$82=0,"",D14/D$82)</f>
        <v>0.66080000000000005</v>
      </c>
      <c r="E19" s="70"/>
      <c r="F19" s="75" t="str">
        <f>IF(F$82=0,"",F14/F$82)</f>
        <v/>
      </c>
      <c r="G19" s="70"/>
      <c r="H19" s="34"/>
      <c r="I19" s="56"/>
      <c r="J19" s="101" t="s">
        <v>5018</v>
      </c>
    </row>
    <row r="20" spans="1:10" ht="18">
      <c r="A20" s="30"/>
      <c r="B20" s="31"/>
      <c r="C20" s="72" t="s">
        <v>5019</v>
      </c>
      <c r="D20" s="75">
        <f>IF(D87=0,"",D14/D87)</f>
        <v>-3.8102</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4.05</v>
      </c>
      <c r="E22" s="70"/>
      <c r="F22" s="70">
        <f>IF(F74=0,"",F$10/F74)</f>
        <v>0.84</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2.54</v>
      </c>
      <c r="E24" s="70"/>
      <c r="F24" s="70">
        <f>IF(F83=0,"",F$10/F83)</f>
        <v>0.53</v>
      </c>
      <c r="G24" s="70"/>
      <c r="H24" s="34"/>
      <c r="I24" s="56"/>
      <c r="J24" s="101" t="s">
        <v>5027</v>
      </c>
    </row>
    <row r="25" spans="1:10" ht="18">
      <c r="A25" s="30"/>
      <c r="B25" s="31"/>
      <c r="C25" s="72" t="s">
        <v>5028</v>
      </c>
      <c r="D25" s="70">
        <f>IF(D85=0,"",D$10/D85)</f>
        <v>-2.89</v>
      </c>
      <c r="E25" s="70"/>
      <c r="F25" s="70" t="str">
        <f>IF(F85=0,"",F$10/F85)</f>
        <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0.62</v>
      </c>
      <c r="E27" s="70"/>
      <c r="F27" s="70" t="str">
        <f>IF(F$84=0,"",F80/F$84)</f>
        <v/>
      </c>
      <c r="G27" s="70"/>
      <c r="H27" s="34"/>
      <c r="I27" s="56"/>
      <c r="J27" s="101" t="s">
        <v>5032</v>
      </c>
    </row>
    <row r="28" spans="1:10" ht="18">
      <c r="A28" s="30"/>
      <c r="B28" s="31"/>
      <c r="C28" s="72" t="s">
        <v>5033</v>
      </c>
      <c r="D28" s="70">
        <f>IF(D$84=0,"",D81/D$84)</f>
        <v>0.62</v>
      </c>
      <c r="E28" s="70"/>
      <c r="F28" s="70" t="str">
        <f>IF(F$84=0,"",F81/F$84)</f>
        <v/>
      </c>
      <c r="G28" s="70"/>
      <c r="H28" s="34"/>
      <c r="I28" s="56"/>
      <c r="J28" s="101" t="s">
        <v>5034</v>
      </c>
    </row>
    <row r="29" spans="1:10" ht="18">
      <c r="A29" s="30"/>
      <c r="B29" s="31"/>
      <c r="C29" s="72" t="s">
        <v>5035</v>
      </c>
      <c r="D29" s="70">
        <f>IF(D$84=0,"",D109/D$84)</f>
        <v>0.08</v>
      </c>
      <c r="E29" s="70"/>
      <c r="F29" s="70" t="str">
        <f>IF(F$84=0,"",F109/F$84)</f>
        <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1.1734</v>
      </c>
      <c r="E31" s="75"/>
      <c r="F31" s="75" t="str">
        <f>IF(F82=0,"",F86/F82)</f>
        <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4.7600000000000003E-2</v>
      </c>
      <c r="E34" s="70"/>
      <c r="F34" s="75">
        <f>IF(F$10=0,"",(F107+F108)/F$10)</f>
        <v>0.19170000000000001</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-0.79179999999999995</v>
      </c>
      <c r="G36" s="75"/>
      <c r="H36" s="34"/>
      <c r="I36" s="56"/>
      <c r="J36" s="101" t="s">
        <v>5041</v>
      </c>
    </row>
    <row r="37" spans="1:10" ht="18">
      <c r="A37" s="30"/>
      <c r="B37" s="31"/>
      <c r="C37" s="72" t="s">
        <v>5042</v>
      </c>
      <c r="D37" s="75" t="str">
        <f>IF(H13=0,"",(D13-H13)/H13)</f>
        <v/>
      </c>
      <c r="E37" s="75"/>
      <c r="F37" s="75">
        <f>IF(D13=0,"",(F13-D13)/D13)</f>
        <v>-0.88039999999999996</v>
      </c>
      <c r="G37" s="75"/>
      <c r="H37" s="34"/>
      <c r="I37" s="56"/>
      <c r="J37" s="101" t="s">
        <v>5043</v>
      </c>
    </row>
    <row r="38" spans="1:10" ht="18">
      <c r="A38" s="30"/>
      <c r="B38" s="31"/>
      <c r="C38" s="72" t="s">
        <v>5044</v>
      </c>
      <c r="D38" s="75" t="str">
        <f>IF(H14=0,"",(D14-H14)/H14)</f>
        <v/>
      </c>
      <c r="E38" s="75"/>
      <c r="F38" s="75">
        <f>IF(D14=0,"",(F14-D14)/D14)</f>
        <v>-0.68020000000000003</v>
      </c>
      <c r="G38" s="75"/>
      <c r="H38" s="34"/>
      <c r="I38" s="56"/>
      <c r="J38" s="101" t="s">
        <v>5045</v>
      </c>
    </row>
    <row r="39" spans="1:10" ht="18">
      <c r="A39" s="30"/>
      <c r="B39" s="31"/>
      <c r="C39" s="72" t="s">
        <v>5046</v>
      </c>
      <c r="D39" s="75" t="str">
        <f>IF(H87=0,"",(D87-H87)/H87)</f>
        <v/>
      </c>
      <c r="E39" s="75"/>
      <c r="F39" s="75">
        <f>IF(D87=0,"",(F87-D87)/D87)</f>
        <v>-2.2185999999999999</v>
      </c>
      <c r="G39" s="75"/>
      <c r="H39" s="34"/>
      <c r="I39" s="56"/>
      <c r="J39" s="101" t="s">
        <v>5047</v>
      </c>
    </row>
    <row r="40" spans="1:10" ht="18">
      <c r="A40" s="30"/>
      <c r="B40" s="31"/>
      <c r="C40" s="72" t="s">
        <v>5048</v>
      </c>
      <c r="D40" s="75" t="str">
        <f>IF(H82=0,"",(D82-H82)/H82)</f>
        <v/>
      </c>
      <c r="E40" s="75"/>
      <c r="F40" s="75">
        <f>IF(D82=0,"",(F82-D82)/D82)</f>
        <v>-1</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638336.48</v>
      </c>
      <c r="E42" s="70"/>
      <c r="F42" s="70">
        <f>VLOOKUP($B42,Sheet_Trialbal,6,0)</f>
        <v>-419198.46</v>
      </c>
      <c r="G42" s="70"/>
      <c r="H42" s="34"/>
      <c r="I42" s="56"/>
      <c r="J42" s="96"/>
    </row>
    <row r="43" spans="1:10" ht="18">
      <c r="A43" s="30"/>
      <c r="B43" s="31">
        <v>7099</v>
      </c>
      <c r="C43" s="72" t="s">
        <v>5089</v>
      </c>
      <c r="D43" s="70">
        <f>VLOOKUP($B43,Sheet_Trialbal,10,0)</f>
        <v>-556243.94999999995</v>
      </c>
      <c r="E43" s="70"/>
      <c r="F43" s="70">
        <f>VLOOKUP($B43,Sheet_Trialbal,6,0)</f>
        <v>318801.53999999998</v>
      </c>
      <c r="G43" s="70"/>
      <c r="H43" s="34"/>
      <c r="I43" s="56"/>
      <c r="J43" s="96"/>
    </row>
    <row r="44" spans="1:10" ht="18">
      <c r="A44" s="30"/>
      <c r="B44" s="31">
        <v>7001</v>
      </c>
      <c r="C44" s="72" t="s">
        <v>5090</v>
      </c>
      <c r="D44" s="70">
        <f>VLOOKUP($B44,Sheet_Trialbal,10,0)</f>
        <v>5797532.9199999999</v>
      </c>
      <c r="E44" s="70"/>
      <c r="F44" s="70">
        <f>VLOOKUP($B44,Sheet_Trialbal,6,0)</f>
        <v>3423319.05</v>
      </c>
      <c r="G44" s="70"/>
      <c r="H44" s="34"/>
      <c r="I44" s="56"/>
      <c r="J44" s="96"/>
    </row>
    <row r="45" spans="1:10" ht="24">
      <c r="A45" s="30"/>
      <c r="B45" s="31"/>
      <c r="C45" s="72" t="s">
        <v>5091</v>
      </c>
      <c r="D45" s="75">
        <f>IF(D$10=0,"",D44/D$10)</f>
        <v>0.55110000000000003</v>
      </c>
      <c r="E45" s="70"/>
      <c r="F45" s="75">
        <f>IF(F$10=0,"",F44/F$10)</f>
        <v>1.5632999999999999</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2" t="s">
        <v>5059</v>
      </c>
      <c r="I68" s="3313"/>
      <c r="J68" s="97" t="s">
        <v>5060</v>
      </c>
    </row>
    <row r="69" spans="1:10" ht="18">
      <c r="A69" s="30"/>
      <c r="B69" s="108"/>
      <c r="C69" s="109" t="s">
        <v>5061</v>
      </c>
      <c r="D69" s="110"/>
      <c r="E69" s="111"/>
      <c r="F69" s="110"/>
      <c r="G69" s="110"/>
      <c r="H69" s="3314"/>
      <c r="I69" s="3315"/>
      <c r="J69" s="96"/>
    </row>
    <row r="70" spans="1:10" ht="18">
      <c r="A70" s="30"/>
      <c r="B70" s="112"/>
      <c r="C70" s="113" t="s">
        <v>5062</v>
      </c>
      <c r="D70" s="114"/>
      <c r="E70" s="115"/>
      <c r="F70" s="114"/>
      <c r="G70" s="114"/>
      <c r="H70" s="3316"/>
      <c r="I70" s="3317"/>
      <c r="J70" s="96"/>
    </row>
    <row r="71" spans="1:10" ht="18">
      <c r="A71" s="30"/>
      <c r="B71" s="116">
        <v>1122</v>
      </c>
      <c r="C71" s="113" t="s">
        <v>124</v>
      </c>
      <c r="D71" s="117">
        <f>VLOOKUP($B71,Sheet_Trialbal,10,0)</f>
        <v>5191249.5199999996</v>
      </c>
      <c r="E71" s="117"/>
      <c r="F71" s="117">
        <f>VLOOKUP($B71,Sheet_Trialbal,6,0)</f>
        <v>0</v>
      </c>
      <c r="G71" s="117"/>
      <c r="H71" s="3318"/>
      <c r="I71" s="3319"/>
      <c r="J71" s="101" t="s">
        <v>5063</v>
      </c>
    </row>
    <row r="72" spans="1:10" ht="18">
      <c r="A72" s="30"/>
      <c r="B72" s="116">
        <v>1122.1231</v>
      </c>
      <c r="C72" s="113" t="s">
        <v>5064</v>
      </c>
      <c r="D72" s="114">
        <f>VLOOKUP($B72,Sheet_Trialbal,10,0)</f>
        <v>0</v>
      </c>
      <c r="E72" s="114"/>
      <c r="F72" s="114">
        <f>VLOOKUP($B72,Sheet_Trialbal,6,0)</f>
        <v>0</v>
      </c>
      <c r="G72" s="114"/>
      <c r="H72" s="3318"/>
      <c r="I72" s="3319"/>
      <c r="J72" s="101" t="s">
        <v>5063</v>
      </c>
    </row>
    <row r="73" spans="1:10" ht="18">
      <c r="A73" s="30"/>
      <c r="B73" s="116"/>
      <c r="C73" s="113" t="s">
        <v>5065</v>
      </c>
      <c r="D73" s="118">
        <f>D71+D72</f>
        <v>5191249.5199999996</v>
      </c>
      <c r="E73" s="118"/>
      <c r="F73" s="118">
        <f>F71+F72</f>
        <v>0</v>
      </c>
      <c r="G73" s="118"/>
      <c r="H73" s="3320">
        <f>H71+H72</f>
        <v>0</v>
      </c>
      <c r="I73" s="3321">
        <f>I71+I72</f>
        <v>0</v>
      </c>
      <c r="J73" s="96"/>
    </row>
    <row r="74" spans="1:10" ht="18">
      <c r="A74" s="30"/>
      <c r="B74" s="116"/>
      <c r="C74" s="120" t="s">
        <v>5066</v>
      </c>
      <c r="D74" s="118">
        <f>(D73+H73)/2</f>
        <v>2595624.7599999998</v>
      </c>
      <c r="E74" s="118"/>
      <c r="F74" s="118">
        <f>(D73+F73)/2</f>
        <v>2595624.7599999998</v>
      </c>
      <c r="G74" s="118"/>
      <c r="H74" s="3320"/>
      <c r="I74" s="3321"/>
      <c r="J74" s="96"/>
    </row>
    <row r="75" spans="1:10" ht="18">
      <c r="A75" s="30"/>
      <c r="B75" s="116">
        <v>1125</v>
      </c>
      <c r="C75" s="113" t="s">
        <v>162</v>
      </c>
      <c r="D75" s="117">
        <f>VLOOKUP($B75,Sheet_Trialbal,10,0)</f>
        <v>0</v>
      </c>
      <c r="E75" s="117"/>
      <c r="F75" s="117">
        <f>VLOOKUP($B75,Sheet_Trialbal,6,0)</f>
        <v>0</v>
      </c>
      <c r="G75" s="117"/>
      <c r="H75" s="3320"/>
      <c r="I75" s="3321"/>
      <c r="J75" s="96"/>
    </row>
    <row r="76" spans="1:10" ht="18">
      <c r="A76" s="30"/>
      <c r="B76" s="116">
        <v>1400</v>
      </c>
      <c r="C76" s="113" t="s">
        <v>229</v>
      </c>
      <c r="D76" s="117">
        <f>VLOOKUP($B76,Sheet_Trialbal,10,0)</f>
        <v>0</v>
      </c>
      <c r="E76" s="117"/>
      <c r="F76" s="117">
        <f>VLOOKUP($B76,Sheet_Trialbal,6,0)</f>
        <v>0</v>
      </c>
      <c r="G76" s="117"/>
      <c r="H76" s="3318"/>
      <c r="I76" s="3319"/>
      <c r="J76" s="101" t="s">
        <v>5063</v>
      </c>
    </row>
    <row r="77" spans="1:10" ht="18">
      <c r="A77" s="30"/>
      <c r="B77" s="116">
        <v>1400.1470999999999</v>
      </c>
      <c r="C77" s="113" t="s">
        <v>5067</v>
      </c>
      <c r="D77" s="114">
        <f>VLOOKUP($B77,Sheet_Trialbal,10,0)</f>
        <v>0</v>
      </c>
      <c r="E77" s="114"/>
      <c r="F77" s="114">
        <f>VLOOKUP($B77,Sheet_Trialbal,6,0)</f>
        <v>0</v>
      </c>
      <c r="G77" s="114"/>
      <c r="H77" s="3318"/>
      <c r="I77" s="3319"/>
      <c r="J77" s="101" t="s">
        <v>5063</v>
      </c>
    </row>
    <row r="78" spans="1:10" ht="18">
      <c r="A78" s="30"/>
      <c r="B78" s="116"/>
      <c r="C78" s="113" t="s">
        <v>5068</v>
      </c>
      <c r="D78" s="118">
        <f>D76+D77</f>
        <v>0</v>
      </c>
      <c r="E78" s="118"/>
      <c r="F78" s="118">
        <f>F76+F77</f>
        <v>0</v>
      </c>
      <c r="G78" s="118"/>
      <c r="H78" s="3320">
        <f>H76+H77</f>
        <v>0</v>
      </c>
      <c r="I78" s="3321">
        <f>I76+I77</f>
        <v>0</v>
      </c>
      <c r="J78" s="96"/>
    </row>
    <row r="79" spans="1:10" ht="18">
      <c r="A79" s="30"/>
      <c r="B79" s="116"/>
      <c r="C79" s="120" t="s">
        <v>5069</v>
      </c>
      <c r="D79" s="118">
        <f>(D78+H78)/2</f>
        <v>0</v>
      </c>
      <c r="E79" s="118"/>
      <c r="F79" s="118">
        <f>(D78+F78)/2</f>
        <v>0</v>
      </c>
      <c r="G79" s="118"/>
      <c r="H79" s="3320"/>
      <c r="I79" s="3321"/>
      <c r="J79" s="96"/>
    </row>
    <row r="80" spans="1:10" ht="18">
      <c r="A80" s="30"/>
      <c r="B80" s="116">
        <v>1498</v>
      </c>
      <c r="C80" s="113" t="s">
        <v>286</v>
      </c>
      <c r="D80" s="117">
        <f>VLOOKUP($B80,Sheet_Trialbal,10,0)</f>
        <v>6060434.4199999999</v>
      </c>
      <c r="E80" s="117"/>
      <c r="F80" s="117">
        <f>VLOOKUP($B80,Sheet_Trialbal,6,0)</f>
        <v>0</v>
      </c>
      <c r="G80" s="117"/>
      <c r="H80" s="3320"/>
      <c r="I80" s="3321"/>
      <c r="J80" s="96"/>
    </row>
    <row r="81" spans="1:10" ht="18">
      <c r="A81" s="30"/>
      <c r="B81" s="116"/>
      <c r="C81" s="120" t="s">
        <v>5070</v>
      </c>
      <c r="D81" s="118">
        <f>D80-D75-D76</f>
        <v>6060434.4199999999</v>
      </c>
      <c r="E81" s="118"/>
      <c r="F81" s="118">
        <f>F80-F75-F76</f>
        <v>0</v>
      </c>
      <c r="G81" s="118"/>
      <c r="H81" s="3320"/>
      <c r="I81" s="3321"/>
      <c r="J81" s="96"/>
    </row>
    <row r="82" spans="1:10" ht="18">
      <c r="A82" s="30"/>
      <c r="B82" s="116">
        <v>1999</v>
      </c>
      <c r="C82" s="113" t="s">
        <v>5071</v>
      </c>
      <c r="D82" s="117">
        <f>VLOOKUP($B82,Sheet_Trialbal,10,0)</f>
        <v>8268812.3099999996</v>
      </c>
      <c r="E82" s="117"/>
      <c r="F82" s="117">
        <f>VLOOKUP($B82,Sheet_Trialbal,6,0)</f>
        <v>0</v>
      </c>
      <c r="G82" s="117"/>
      <c r="H82" s="3318"/>
      <c r="I82" s="3319"/>
      <c r="J82" s="101" t="s">
        <v>5063</v>
      </c>
    </row>
    <row r="83" spans="1:10" ht="18">
      <c r="A83" s="30"/>
      <c r="B83" s="116"/>
      <c r="C83" s="120" t="s">
        <v>5072</v>
      </c>
      <c r="D83" s="118">
        <f>(D82+H82)/2</f>
        <v>4134406.16</v>
      </c>
      <c r="E83" s="118"/>
      <c r="F83" s="118">
        <f>(D82+F82)/2</f>
        <v>4134406.16</v>
      </c>
      <c r="G83" s="117"/>
      <c r="H83" s="3320"/>
      <c r="I83" s="3321"/>
      <c r="J83" s="96"/>
    </row>
    <row r="84" spans="1:10" ht="18">
      <c r="A84" s="30"/>
      <c r="B84" s="116">
        <v>2498</v>
      </c>
      <c r="C84" s="113" t="s">
        <v>566</v>
      </c>
      <c r="D84" s="117">
        <f>VLOOKUP($B84,Sheet_Trialbal,10,0)</f>
        <v>9702781.5800000001</v>
      </c>
      <c r="E84" s="117"/>
      <c r="F84" s="117">
        <f>VLOOKUP($B84,Sheet_Trialbal,6,0)</f>
        <v>0</v>
      </c>
      <c r="G84" s="117"/>
      <c r="H84" s="3320"/>
      <c r="I84" s="3321"/>
      <c r="J84" s="96"/>
    </row>
    <row r="85" spans="1:10" ht="18">
      <c r="A85" s="30"/>
      <c r="B85" s="116"/>
      <c r="C85" s="113" t="s">
        <v>5073</v>
      </c>
      <c r="D85" s="118">
        <f>D80-D84</f>
        <v>-3642347.16</v>
      </c>
      <c r="E85" s="118"/>
      <c r="F85" s="118">
        <f>F80-F84</f>
        <v>0</v>
      </c>
      <c r="G85" s="118"/>
      <c r="H85" s="3320"/>
      <c r="I85" s="3321"/>
      <c r="J85" s="96"/>
    </row>
    <row r="86" spans="1:10" ht="18">
      <c r="A86" s="30"/>
      <c r="B86" s="116">
        <v>2999</v>
      </c>
      <c r="C86" s="113" t="s">
        <v>5074</v>
      </c>
      <c r="D86" s="117">
        <f>VLOOKUP($B86,Sheet_Trialbal,10,0)</f>
        <v>9702781.5800000001</v>
      </c>
      <c r="E86" s="117"/>
      <c r="F86" s="117">
        <f>VLOOKUP($B86,Sheet_Trialbal,6,0)</f>
        <v>0</v>
      </c>
      <c r="G86" s="117"/>
      <c r="H86" s="3320"/>
      <c r="I86" s="3321"/>
      <c r="J86" s="96"/>
    </row>
    <row r="87" spans="1:10" ht="18">
      <c r="A87" s="30"/>
      <c r="B87" s="116">
        <v>4999</v>
      </c>
      <c r="C87" s="113" t="s">
        <v>5075</v>
      </c>
      <c r="D87" s="117">
        <f>VLOOKUP($B87,Sheet_Trialbal,10,0)</f>
        <v>-1433969.27</v>
      </c>
      <c r="E87" s="117"/>
      <c r="F87" s="117">
        <f>VLOOKUP($B87,Sheet_Trialbal,6,0)</f>
        <v>1747379.72</v>
      </c>
      <c r="G87" s="117"/>
      <c r="H87" s="3320"/>
      <c r="I87" s="3321"/>
      <c r="J87" s="101" t="s">
        <v>5063</v>
      </c>
    </row>
    <row r="88" spans="1:10" ht="18">
      <c r="A88" s="30"/>
      <c r="B88" s="116"/>
      <c r="C88" s="113"/>
      <c r="D88" s="117"/>
      <c r="E88" s="117"/>
      <c r="F88" s="117"/>
      <c r="G88" s="117"/>
      <c r="H88" s="3326"/>
      <c r="I88" s="3327"/>
      <c r="J88" s="101"/>
    </row>
    <row r="89" spans="1:10" ht="18">
      <c r="A89" s="30"/>
      <c r="B89" s="116"/>
      <c r="C89" s="113"/>
      <c r="D89" s="117"/>
      <c r="E89" s="117"/>
      <c r="F89" s="117"/>
      <c r="G89" s="117"/>
      <c r="H89" s="3320"/>
      <c r="I89" s="3321"/>
      <c r="J89" s="101"/>
    </row>
    <row r="90" spans="1:10" ht="18">
      <c r="A90" s="30"/>
      <c r="B90" s="116"/>
      <c r="C90" s="113"/>
      <c r="D90" s="117"/>
      <c r="E90" s="117"/>
      <c r="F90" s="117"/>
      <c r="G90" s="117"/>
      <c r="H90" s="3320"/>
      <c r="I90" s="3321"/>
      <c r="J90" s="101"/>
    </row>
    <row r="91" spans="1:10" ht="18">
      <c r="A91" s="30"/>
      <c r="B91" s="116"/>
      <c r="C91" s="113"/>
      <c r="D91" s="117"/>
      <c r="E91" s="117"/>
      <c r="F91" s="117"/>
      <c r="G91" s="117"/>
      <c r="H91" s="3320"/>
      <c r="I91" s="3321"/>
      <c r="J91" s="101"/>
    </row>
    <row r="92" spans="1:10" ht="18">
      <c r="A92" s="30"/>
      <c r="B92" s="116"/>
      <c r="C92" s="113"/>
      <c r="D92" s="117"/>
      <c r="E92" s="117"/>
      <c r="F92" s="117"/>
      <c r="G92" s="117"/>
      <c r="H92" s="3320"/>
      <c r="I92" s="3321"/>
      <c r="J92" s="101"/>
    </row>
    <row r="93" spans="1:10" ht="18">
      <c r="A93" s="30"/>
      <c r="B93" s="116"/>
      <c r="C93" s="113"/>
      <c r="D93" s="117"/>
      <c r="E93" s="117"/>
      <c r="F93" s="117"/>
      <c r="G93" s="117"/>
      <c r="H93" s="3320"/>
      <c r="I93" s="3321"/>
      <c r="J93" s="101"/>
    </row>
    <row r="94" spans="1:10" ht="18">
      <c r="A94" s="30"/>
      <c r="B94" s="116"/>
      <c r="C94" s="113"/>
      <c r="D94" s="117"/>
      <c r="E94" s="117"/>
      <c r="F94" s="117"/>
      <c r="G94" s="117"/>
      <c r="H94" s="3320"/>
      <c r="I94" s="3321"/>
      <c r="J94" s="101"/>
    </row>
    <row r="95" spans="1:10" ht="18">
      <c r="A95" s="30"/>
      <c r="B95" s="116"/>
      <c r="C95" s="113"/>
      <c r="D95" s="117"/>
      <c r="E95" s="117"/>
      <c r="F95" s="117"/>
      <c r="G95" s="117"/>
      <c r="H95" s="3320"/>
      <c r="I95" s="3321"/>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20"/>
      <c r="I100" s="3321"/>
      <c r="J100" s="101"/>
    </row>
    <row r="101" spans="1:10" ht="18">
      <c r="A101" s="30"/>
      <c r="B101" s="116"/>
      <c r="C101" s="113"/>
      <c r="D101" s="117"/>
      <c r="E101" s="117"/>
      <c r="F101" s="117"/>
      <c r="G101" s="117"/>
      <c r="H101" s="3320"/>
      <c r="I101" s="3321"/>
      <c r="J101" s="101"/>
    </row>
    <row r="102" spans="1:10" ht="18">
      <c r="A102" s="30"/>
      <c r="B102" s="116"/>
      <c r="C102" s="113"/>
      <c r="D102" s="117"/>
      <c r="E102" s="117"/>
      <c r="F102" s="117"/>
      <c r="G102" s="117"/>
      <c r="H102" s="3320"/>
      <c r="I102" s="3321"/>
      <c r="J102" s="101"/>
    </row>
    <row r="103" spans="1:10" ht="18">
      <c r="A103" s="30"/>
      <c r="B103" s="116"/>
      <c r="C103" s="113"/>
      <c r="D103" s="117"/>
      <c r="E103" s="117"/>
      <c r="F103" s="117"/>
      <c r="G103" s="117"/>
      <c r="H103" s="3320"/>
      <c r="I103" s="3321"/>
      <c r="J103" s="101"/>
    </row>
    <row r="104" spans="1:10" ht="18">
      <c r="A104" s="30"/>
      <c r="B104" s="116"/>
      <c r="C104" s="113"/>
      <c r="D104" s="117"/>
      <c r="E104" s="117"/>
      <c r="F104" s="117"/>
      <c r="G104" s="117"/>
      <c r="H104" s="3320"/>
      <c r="I104" s="3321"/>
      <c r="J104" s="101"/>
    </row>
    <row r="105" spans="1:10" ht="18">
      <c r="A105" s="30"/>
      <c r="B105" s="116"/>
      <c r="C105" s="113"/>
      <c r="D105" s="117"/>
      <c r="E105" s="117"/>
      <c r="F105" s="117"/>
      <c r="G105" s="117"/>
      <c r="H105" s="3320"/>
      <c r="I105" s="3321"/>
      <c r="J105" s="101"/>
    </row>
    <row r="106" spans="1:10" ht="18">
      <c r="A106" s="30"/>
      <c r="B106" s="116">
        <v>6401</v>
      </c>
      <c r="C106" s="113" t="s">
        <v>671</v>
      </c>
      <c r="D106" s="117">
        <f>VLOOKUP($B106,Sheet_Trialbal,10,0)</f>
        <v>4316544.09</v>
      </c>
      <c r="E106" s="117"/>
      <c r="F106" s="117">
        <f>VLOOKUP($B106,Sheet_Trialbal,6,0)</f>
        <v>1009661.4</v>
      </c>
      <c r="G106" s="117"/>
      <c r="H106" s="3320"/>
      <c r="I106" s="3321"/>
      <c r="J106" s="96"/>
    </row>
    <row r="107" spans="1:10" ht="18">
      <c r="A107" s="30"/>
      <c r="B107" s="116">
        <v>6601</v>
      </c>
      <c r="C107" s="113" t="s">
        <v>680</v>
      </c>
      <c r="D107" s="117">
        <f>VLOOKUP($B107,Sheet_Trialbal,10,0)</f>
        <v>494261.11</v>
      </c>
      <c r="E107" s="117"/>
      <c r="F107" s="117">
        <f>VLOOKUP($B107,Sheet_Trialbal,6,0)</f>
        <v>0</v>
      </c>
      <c r="G107" s="117"/>
      <c r="H107" s="3320"/>
      <c r="I107" s="3321"/>
      <c r="J107" s="96"/>
    </row>
    <row r="108" spans="1:10" ht="18">
      <c r="A108" s="30"/>
      <c r="B108" s="116">
        <v>6602</v>
      </c>
      <c r="C108" s="113" t="s">
        <v>685</v>
      </c>
      <c r="D108" s="117">
        <f>VLOOKUP($B108,Sheet_Trialbal,10,0)</f>
        <v>6359.38</v>
      </c>
      <c r="E108" s="117"/>
      <c r="F108" s="117">
        <f>VLOOKUP($B108,Sheet_Trialbal,6,0)</f>
        <v>419878.21</v>
      </c>
      <c r="G108" s="117"/>
      <c r="H108" s="3320"/>
      <c r="I108" s="3321"/>
      <c r="J108" s="96"/>
    </row>
    <row r="109" spans="1:10" ht="18">
      <c r="A109" s="30"/>
      <c r="B109" s="121">
        <v>7399</v>
      </c>
      <c r="C109" s="122" t="s">
        <v>2272</v>
      </c>
      <c r="D109" s="123">
        <f>VLOOKUP($B109,Sheet_Trialbal,10,0)</f>
        <v>799162.6</v>
      </c>
      <c r="E109" s="123"/>
      <c r="F109" s="123">
        <f>VLOOKUP($B109,Sheet_Trialbal,6,0)</f>
        <v>379964.14</v>
      </c>
      <c r="G109" s="123"/>
      <c r="H109" s="3322"/>
      <c r="I109" s="3323"/>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北京鼎竑信息技术有限公司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6659</v>
      </c>
      <c r="B3" s="2914" t="str">
        <f>Lead!$C$5</f>
        <v>北京鼎竑信息技术有限公司</v>
      </c>
      <c r="C3" s="2915"/>
      <c r="D3" s="2915"/>
      <c r="E3" s="2915"/>
      <c r="F3" s="2909"/>
      <c r="G3" s="2910"/>
      <c r="H3" s="2910"/>
      <c r="I3" s="2910"/>
      <c r="J3" s="2916" t="str">
        <f>""&amp;$B$1</f>
        <v>9000A</v>
      </c>
      <c r="K3" s="2912"/>
    </row>
    <row r="4" spans="1:11">
      <c r="A4" s="2917" t="s">
        <v>6660</v>
      </c>
      <c r="B4" s="2918" t="s">
        <v>6660</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42" t="s">
        <v>6662</v>
      </c>
      <c r="D8" s="3342"/>
      <c r="E8" s="3342"/>
      <c r="F8" s="3342"/>
      <c r="G8" s="3342"/>
      <c r="H8" s="2930" t="s">
        <v>6663</v>
      </c>
      <c r="I8" s="2931" t="s">
        <v>6664</v>
      </c>
      <c r="J8" s="2932" t="s">
        <v>6665</v>
      </c>
      <c r="K8" s="2905"/>
    </row>
    <row r="9" spans="1:11" s="2928" customFormat="1" ht="39.75" customHeight="1">
      <c r="A9" s="2925"/>
      <c r="B9" s="2933">
        <v>1</v>
      </c>
      <c r="C9" s="3333" t="s">
        <v>6666</v>
      </c>
      <c r="D9" s="3334"/>
      <c r="E9" s="3334"/>
      <c r="F9" s="3334"/>
      <c r="G9" s="3334"/>
      <c r="H9" s="2934"/>
      <c r="I9" s="2935"/>
      <c r="J9" s="2936"/>
      <c r="K9" s="2905"/>
    </row>
    <row r="10" spans="1:11" s="2928" customFormat="1" ht="51" customHeight="1">
      <c r="A10" s="2925"/>
      <c r="B10" s="2933">
        <v>2</v>
      </c>
      <c r="C10" s="3333" t="s">
        <v>6667</v>
      </c>
      <c r="D10" s="3334"/>
      <c r="E10" s="3334"/>
      <c r="F10" s="3334"/>
      <c r="G10" s="3334"/>
      <c r="H10" s="2934"/>
      <c r="I10" s="2935"/>
      <c r="J10" s="2937"/>
      <c r="K10" s="2905"/>
    </row>
    <row r="11" spans="1:11" s="2928" customFormat="1" ht="20.25" customHeight="1">
      <c r="A11" s="2925"/>
      <c r="B11" s="2938" t="s">
        <v>6668</v>
      </c>
      <c r="C11" s="3339" t="s">
        <v>6669</v>
      </c>
      <c r="D11" s="3341"/>
      <c r="E11" s="3341"/>
      <c r="F11" s="3341"/>
      <c r="G11" s="3341"/>
      <c r="H11" s="2939"/>
      <c r="I11" s="2935"/>
      <c r="J11" s="2936"/>
      <c r="K11" s="2905"/>
    </row>
    <row r="12" spans="1:11" s="2928" customFormat="1" ht="31.5" customHeight="1">
      <c r="A12" s="2925"/>
      <c r="B12" s="2938" t="s">
        <v>6670</v>
      </c>
      <c r="C12" s="3339" t="s">
        <v>6671</v>
      </c>
      <c r="D12" s="3341"/>
      <c r="E12" s="3341"/>
      <c r="F12" s="3341"/>
      <c r="G12" s="3341"/>
      <c r="H12" s="2939"/>
      <c r="I12" s="2935"/>
      <c r="J12" s="2936"/>
      <c r="K12" s="2905"/>
    </row>
    <row r="13" spans="1:11" s="2928" customFormat="1" ht="39" customHeight="1">
      <c r="A13" s="2925"/>
      <c r="B13" s="2938" t="s">
        <v>6672</v>
      </c>
      <c r="C13" s="3339" t="s">
        <v>6673</v>
      </c>
      <c r="D13" s="3341"/>
      <c r="E13" s="3341"/>
      <c r="F13" s="3341"/>
      <c r="G13" s="3341"/>
      <c r="H13" s="2939"/>
      <c r="I13" s="2935"/>
      <c r="J13" s="2936"/>
      <c r="K13" s="2905"/>
    </row>
    <row r="14" spans="1:11" s="2928" customFormat="1" ht="69" customHeight="1">
      <c r="A14" s="2925"/>
      <c r="B14" s="2933">
        <v>3</v>
      </c>
      <c r="C14" s="3333" t="s">
        <v>6674</v>
      </c>
      <c r="D14" s="3334"/>
      <c r="E14" s="3334"/>
      <c r="F14" s="3334"/>
      <c r="G14" s="3334"/>
      <c r="H14" s="2934"/>
      <c r="I14" s="2940"/>
      <c r="J14" s="2937"/>
      <c r="K14" s="2905"/>
    </row>
    <row r="15" spans="1:11" s="2928" customFormat="1" ht="41.25" customHeight="1">
      <c r="A15" s="2925"/>
      <c r="B15" s="2938" t="s">
        <v>6668</v>
      </c>
      <c r="C15" s="3339" t="s">
        <v>6675</v>
      </c>
      <c r="D15" s="3340"/>
      <c r="E15" s="3340"/>
      <c r="F15" s="3340"/>
      <c r="G15" s="3340"/>
      <c r="H15" s="2941"/>
      <c r="I15" s="2935"/>
      <c r="J15" s="2936"/>
      <c r="K15" s="2905"/>
    </row>
    <row r="16" spans="1:11" s="2928" customFormat="1" ht="38.25" customHeight="1">
      <c r="A16" s="2925"/>
      <c r="B16" s="2938" t="s">
        <v>6670</v>
      </c>
      <c r="C16" s="3339" t="s">
        <v>6676</v>
      </c>
      <c r="D16" s="3340"/>
      <c r="E16" s="3340"/>
      <c r="F16" s="3340"/>
      <c r="G16" s="3340"/>
      <c r="H16" s="2941"/>
      <c r="I16" s="2935"/>
      <c r="J16" s="2936"/>
      <c r="K16" s="2905"/>
    </row>
    <row r="17" spans="1:11" s="2928" customFormat="1" ht="53.25" customHeight="1">
      <c r="A17" s="2925"/>
      <c r="B17" s="2938" t="s">
        <v>6672</v>
      </c>
      <c r="C17" s="3339" t="s">
        <v>6677</v>
      </c>
      <c r="D17" s="3341"/>
      <c r="E17" s="3341"/>
      <c r="F17" s="3341"/>
      <c r="G17" s="3341"/>
      <c r="H17" s="2939"/>
      <c r="I17" s="2935"/>
      <c r="J17" s="2936"/>
      <c r="K17" s="2905"/>
    </row>
    <row r="18" spans="1:11" s="2928" customFormat="1" ht="39" customHeight="1">
      <c r="A18" s="2925"/>
      <c r="B18" s="2933" t="s">
        <v>6678</v>
      </c>
      <c r="C18" s="3339" t="s">
        <v>6679</v>
      </c>
      <c r="D18" s="3341"/>
      <c r="E18" s="3341"/>
      <c r="F18" s="3341"/>
      <c r="G18" s="3341"/>
      <c r="H18" s="2942"/>
      <c r="I18" s="2935"/>
      <c r="J18" s="2936"/>
      <c r="K18" s="2905"/>
    </row>
    <row r="19" spans="1:11" s="2928" customFormat="1" ht="53.25" customHeight="1">
      <c r="A19" s="2925"/>
      <c r="B19" s="2933" t="s">
        <v>6680</v>
      </c>
      <c r="C19" s="3339" t="s">
        <v>6681</v>
      </c>
      <c r="D19" s="3341"/>
      <c r="E19" s="3341"/>
      <c r="F19" s="3341"/>
      <c r="G19" s="3341"/>
      <c r="H19" s="2942"/>
      <c r="I19" s="2935"/>
      <c r="J19" s="2936"/>
      <c r="K19" s="2905"/>
    </row>
    <row r="20" spans="1:11" s="2928" customFormat="1" ht="53.25" customHeight="1">
      <c r="A20" s="2925"/>
      <c r="B20" s="2933" t="s">
        <v>6682</v>
      </c>
      <c r="C20" s="3339" t="s">
        <v>6683</v>
      </c>
      <c r="D20" s="3341"/>
      <c r="E20" s="3341"/>
      <c r="F20" s="3341"/>
      <c r="G20" s="3341"/>
      <c r="H20" s="2942"/>
      <c r="I20" s="2935"/>
      <c r="J20" s="2936"/>
      <c r="K20" s="2905"/>
    </row>
    <row r="21" spans="1:11" s="2928" customFormat="1" ht="42.75" customHeight="1">
      <c r="A21" s="2925"/>
      <c r="B21" s="2933" t="s">
        <v>6684</v>
      </c>
      <c r="C21" s="3339" t="s">
        <v>6685</v>
      </c>
      <c r="D21" s="3341"/>
      <c r="E21" s="3341"/>
      <c r="F21" s="3341"/>
      <c r="G21" s="3341"/>
      <c r="H21" s="2942"/>
      <c r="I21" s="2935"/>
      <c r="J21" s="2936"/>
      <c r="K21" s="2905"/>
    </row>
    <row r="22" spans="1:11" s="2928" customFormat="1" ht="60.75" customHeight="1">
      <c r="A22" s="2925"/>
      <c r="B22" s="2933" t="s">
        <v>6686</v>
      </c>
      <c r="C22" s="3339" t="s">
        <v>6687</v>
      </c>
      <c r="D22" s="3341"/>
      <c r="E22" s="3341"/>
      <c r="F22" s="3341"/>
      <c r="G22" s="3341"/>
      <c r="H22" s="2942"/>
      <c r="I22" s="2935"/>
      <c r="J22" s="2936"/>
      <c r="K22" s="2905"/>
    </row>
    <row r="23" spans="1:11" s="2928" customFormat="1" ht="36" customHeight="1">
      <c r="A23" s="2925"/>
      <c r="B23" s="2933" t="s">
        <v>6688</v>
      </c>
      <c r="C23" s="3339" t="s">
        <v>6689</v>
      </c>
      <c r="D23" s="3341"/>
      <c r="E23" s="3341"/>
      <c r="F23" s="3341"/>
      <c r="G23" s="3341"/>
      <c r="H23" s="2942"/>
      <c r="I23" s="2935"/>
      <c r="J23" s="2936"/>
      <c r="K23" s="2905"/>
    </row>
    <row r="24" spans="1:11" s="2928" customFormat="1" ht="42" customHeight="1">
      <c r="A24" s="2925"/>
      <c r="B24" s="2938" t="s">
        <v>6690</v>
      </c>
      <c r="C24" s="3339" t="s">
        <v>6691</v>
      </c>
      <c r="D24" s="3341"/>
      <c r="E24" s="3341"/>
      <c r="F24" s="3341"/>
      <c r="G24" s="3341"/>
      <c r="H24" s="2939"/>
      <c r="I24" s="2935"/>
      <c r="J24" s="2936"/>
      <c r="K24" s="2905"/>
    </row>
    <row r="25" spans="1:11" s="2928" customFormat="1" ht="40.5" customHeight="1">
      <c r="A25" s="2925"/>
      <c r="B25" s="2933">
        <v>4</v>
      </c>
      <c r="C25" s="3333" t="s">
        <v>6692</v>
      </c>
      <c r="D25" s="3334"/>
      <c r="E25" s="3334"/>
      <c r="F25" s="3334"/>
      <c r="G25" s="3334"/>
      <c r="H25" s="2934"/>
      <c r="I25" s="2935"/>
      <c r="J25" s="2936"/>
      <c r="K25" s="2905"/>
    </row>
    <row r="26" spans="1:11" s="2928" customFormat="1" ht="117" customHeight="1">
      <c r="A26" s="2925"/>
      <c r="B26" s="2933">
        <v>5</v>
      </c>
      <c r="C26" s="3333" t="s">
        <v>6693</v>
      </c>
      <c r="D26" s="3334"/>
      <c r="E26" s="3334"/>
      <c r="F26" s="3334"/>
      <c r="G26" s="3334"/>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335"/>
      <c r="C131" s="3336"/>
      <c r="D131" s="3336"/>
      <c r="E131" s="3336"/>
      <c r="F131" s="3336"/>
      <c r="G131" s="3336"/>
      <c r="H131" s="3336"/>
      <c r="I131" s="3336"/>
      <c r="J131" s="3336"/>
    </row>
    <row r="132" spans="2:10">
      <c r="B132" s="3336"/>
      <c r="C132" s="3336"/>
      <c r="D132" s="3336"/>
      <c r="E132" s="3336"/>
      <c r="F132" s="3336"/>
      <c r="G132" s="3336"/>
      <c r="H132" s="3336"/>
      <c r="I132" s="3336"/>
      <c r="J132" s="3336"/>
    </row>
    <row r="133" spans="2:10">
      <c r="B133" s="3336"/>
      <c r="C133" s="3336"/>
      <c r="D133" s="3336"/>
      <c r="E133" s="3336"/>
      <c r="F133" s="3336"/>
      <c r="G133" s="3336"/>
      <c r="H133" s="3336"/>
      <c r="I133" s="3336"/>
      <c r="J133" s="3336"/>
    </row>
    <row r="134" spans="2:10">
      <c r="B134" s="2950"/>
      <c r="C134" s="2950"/>
      <c r="D134" s="2950"/>
      <c r="E134" s="2950"/>
      <c r="F134" s="2950"/>
      <c r="G134" s="2950"/>
      <c r="H134" s="2950"/>
      <c r="I134" s="2950"/>
      <c r="J134" s="2950"/>
    </row>
    <row r="135" spans="2:10">
      <c r="B135" s="3337"/>
      <c r="C135" s="3338"/>
      <c r="D135" s="3338"/>
      <c r="E135" s="3338"/>
      <c r="F135" s="3338"/>
      <c r="G135" s="3338"/>
      <c r="H135" s="3338"/>
      <c r="I135" s="3338"/>
      <c r="J135" s="3338"/>
    </row>
    <row r="136" spans="2:10" ht="56.25" customHeight="1">
      <c r="B136" s="3336"/>
      <c r="C136" s="3336"/>
      <c r="D136" s="3336"/>
      <c r="E136" s="3336"/>
      <c r="F136" s="3336"/>
      <c r="G136" s="3336"/>
      <c r="H136" s="3336"/>
      <c r="I136" s="3336"/>
      <c r="J136" s="3336"/>
    </row>
    <row r="137" spans="2:10">
      <c r="B137" s="2951"/>
      <c r="C137" s="2951"/>
      <c r="D137" s="2951"/>
      <c r="E137" s="2951"/>
      <c r="F137" s="2951"/>
      <c r="G137" s="2951"/>
      <c r="H137" s="2951"/>
      <c r="I137" s="2951"/>
      <c r="J137" s="2951"/>
    </row>
    <row r="138" spans="2:10">
      <c r="B138" s="3336"/>
      <c r="C138" s="3336"/>
      <c r="D138" s="3336"/>
      <c r="E138" s="3336"/>
      <c r="F138" s="3336"/>
      <c r="G138" s="3336"/>
      <c r="H138" s="3336"/>
      <c r="I138" s="3336"/>
      <c r="J138" s="3336"/>
    </row>
    <row r="139" spans="2:10">
      <c r="B139" s="2952"/>
      <c r="C139" s="2952"/>
      <c r="D139" s="2952"/>
      <c r="E139" s="2952"/>
      <c r="F139" s="2952"/>
      <c r="G139" s="2952"/>
      <c r="H139" s="2952"/>
      <c r="I139" s="2952"/>
      <c r="J139" s="2952"/>
    </row>
    <row r="140" spans="2:10">
      <c r="B140" s="3331"/>
      <c r="C140" s="3331"/>
      <c r="D140" s="3331"/>
      <c r="E140" s="3331"/>
      <c r="F140" s="3331"/>
      <c r="G140" s="3331"/>
      <c r="H140" s="3331"/>
      <c r="I140" s="3331"/>
      <c r="J140" s="3331"/>
    </row>
    <row r="141" spans="2:10">
      <c r="B141" s="2952"/>
      <c r="C141" s="2952"/>
      <c r="D141" s="2952"/>
      <c r="E141" s="2952"/>
      <c r="F141" s="2952"/>
      <c r="G141" s="2952"/>
      <c r="H141" s="2952"/>
      <c r="I141" s="2952"/>
      <c r="J141" s="2952"/>
    </row>
    <row r="142" spans="2:10">
      <c r="B142" s="3331"/>
      <c r="C142" s="3331"/>
      <c r="D142" s="3331"/>
      <c r="E142" s="3331"/>
      <c r="F142" s="3331"/>
      <c r="G142" s="3331"/>
      <c r="H142" s="3331"/>
      <c r="I142" s="3331"/>
      <c r="J142" s="3331"/>
    </row>
    <row r="143" spans="2:10">
      <c r="B143" s="2952"/>
      <c r="C143" s="2952"/>
      <c r="D143" s="2952"/>
      <c r="E143" s="2952"/>
      <c r="F143" s="2952"/>
      <c r="G143" s="2952"/>
      <c r="H143" s="2952"/>
      <c r="I143" s="2952"/>
      <c r="J143" s="2952"/>
    </row>
    <row r="144" spans="2:10">
      <c r="B144" s="3331"/>
      <c r="C144" s="3331"/>
      <c r="D144" s="3331"/>
      <c r="E144" s="3331"/>
      <c r="F144" s="3331"/>
      <c r="G144" s="3331"/>
      <c r="H144" s="3331"/>
      <c r="I144" s="3331"/>
      <c r="J144" s="3331"/>
    </row>
    <row r="145" spans="2:10">
      <c r="B145" s="2952"/>
      <c r="C145" s="2952"/>
      <c r="D145" s="2952"/>
      <c r="E145" s="2952"/>
      <c r="F145" s="2952"/>
      <c r="G145" s="2952"/>
      <c r="H145" s="2952"/>
      <c r="I145" s="2952"/>
      <c r="J145" s="2952"/>
    </row>
    <row r="146" spans="2:10">
      <c r="B146" s="3337"/>
      <c r="C146" s="3338"/>
      <c r="D146" s="3338"/>
      <c r="E146" s="3338"/>
      <c r="F146" s="3338"/>
      <c r="G146" s="3338"/>
      <c r="H146" s="3338"/>
      <c r="I146" s="3338"/>
      <c r="J146" s="3338"/>
    </row>
    <row r="147" spans="2:10">
      <c r="B147" s="3328"/>
      <c r="C147" s="3329"/>
      <c r="D147" s="3329"/>
      <c r="E147" s="3329"/>
      <c r="F147" s="3329"/>
      <c r="G147" s="3329"/>
      <c r="H147" s="3329"/>
      <c r="I147" s="3329"/>
      <c r="J147" s="3329"/>
    </row>
    <row r="148" spans="2:10">
      <c r="B148" s="3330"/>
      <c r="C148" s="3330"/>
      <c r="D148" s="3330"/>
      <c r="E148" s="3330"/>
      <c r="F148" s="3330"/>
      <c r="G148" s="3330"/>
      <c r="H148" s="3330"/>
      <c r="I148" s="3330"/>
      <c r="J148" s="3330"/>
    </row>
    <row r="149" spans="2:10">
      <c r="B149" s="3328"/>
      <c r="C149" s="3329"/>
      <c r="D149" s="3329"/>
      <c r="E149" s="3329"/>
      <c r="F149" s="3329"/>
      <c r="G149" s="3329"/>
      <c r="H149" s="3329"/>
      <c r="I149" s="3329"/>
      <c r="J149" s="3329"/>
    </row>
    <row r="150" spans="2:10" ht="63" customHeight="1">
      <c r="B150" s="3330"/>
      <c r="C150" s="3330"/>
      <c r="D150" s="3330"/>
      <c r="E150" s="3330"/>
      <c r="F150" s="3330"/>
      <c r="G150" s="3330"/>
      <c r="H150" s="3330"/>
      <c r="I150" s="3330"/>
      <c r="J150" s="3330"/>
    </row>
    <row r="151" spans="2:10" ht="36" customHeight="1">
      <c r="B151" s="3330"/>
      <c r="C151" s="3330"/>
      <c r="D151" s="3330"/>
      <c r="E151" s="3330"/>
      <c r="F151" s="3330"/>
      <c r="G151" s="3330"/>
      <c r="H151" s="3330"/>
      <c r="I151" s="3330"/>
      <c r="J151" s="3330"/>
    </row>
    <row r="152" spans="2:10" ht="42" customHeight="1">
      <c r="B152" s="3331"/>
      <c r="C152" s="3331"/>
      <c r="D152" s="3331"/>
      <c r="E152" s="3331"/>
      <c r="F152" s="3331"/>
      <c r="G152" s="3331"/>
      <c r="H152" s="3331"/>
      <c r="I152" s="3331"/>
      <c r="J152" s="3331"/>
    </row>
    <row r="153" spans="2:10" ht="47.25" customHeight="1">
      <c r="B153" s="3331"/>
      <c r="C153" s="3331"/>
      <c r="D153" s="3331"/>
      <c r="E153" s="3331"/>
      <c r="F153" s="3331"/>
      <c r="G153" s="3331"/>
      <c r="H153" s="3331"/>
      <c r="I153" s="3331"/>
      <c r="J153" s="3331"/>
    </row>
    <row r="154" spans="2:10" ht="51" customHeight="1">
      <c r="B154" s="3331"/>
      <c r="C154" s="3331"/>
      <c r="D154" s="3331"/>
      <c r="E154" s="3331"/>
      <c r="F154" s="3331"/>
      <c r="G154" s="3331"/>
      <c r="H154" s="3331"/>
      <c r="I154" s="3331"/>
      <c r="J154" s="3331"/>
    </row>
    <row r="155" spans="2:10">
      <c r="B155" s="3328"/>
      <c r="C155" s="3329"/>
      <c r="D155" s="3329"/>
      <c r="E155" s="3329"/>
      <c r="F155" s="3329"/>
      <c r="G155" s="3329"/>
      <c r="H155" s="3329"/>
      <c r="I155" s="3329"/>
      <c r="J155" s="3329"/>
    </row>
    <row r="156" spans="2:10" ht="30" customHeight="1">
      <c r="B156" s="3330"/>
      <c r="C156" s="3330"/>
      <c r="D156" s="3330"/>
      <c r="E156" s="3330"/>
      <c r="F156" s="3330"/>
      <c r="G156" s="3330"/>
      <c r="H156" s="3330"/>
      <c r="I156" s="3330"/>
      <c r="J156" s="3330"/>
    </row>
    <row r="157" spans="2:10" ht="29.25" customHeight="1">
      <c r="B157" s="3330"/>
      <c r="C157" s="3330"/>
      <c r="D157" s="3330"/>
      <c r="E157" s="3330"/>
      <c r="F157" s="3330"/>
      <c r="G157" s="3330"/>
      <c r="H157" s="3330"/>
      <c r="I157" s="3330"/>
      <c r="J157" s="3330"/>
    </row>
    <row r="158" spans="2:10" ht="37.5" customHeight="1">
      <c r="B158" s="3331"/>
      <c r="C158" s="3331"/>
      <c r="D158" s="3331"/>
      <c r="E158" s="3331"/>
      <c r="F158" s="3331"/>
      <c r="G158" s="3331"/>
      <c r="H158" s="3331"/>
      <c r="I158" s="3331"/>
      <c r="J158" s="3331"/>
    </row>
    <row r="159" spans="2:10" ht="56.25" customHeight="1">
      <c r="B159" s="3331"/>
      <c r="C159" s="3331"/>
      <c r="D159" s="3331"/>
      <c r="E159" s="3331"/>
      <c r="F159" s="3331"/>
      <c r="G159" s="3331"/>
      <c r="H159" s="3331"/>
      <c r="I159" s="3331"/>
      <c r="J159" s="3331"/>
    </row>
    <row r="160" spans="2:10">
      <c r="B160" s="3328"/>
      <c r="C160" s="3329"/>
      <c r="D160" s="3329"/>
      <c r="E160" s="3329"/>
      <c r="F160" s="3329"/>
      <c r="G160" s="3329"/>
      <c r="H160" s="3329"/>
      <c r="I160" s="3329"/>
      <c r="J160" s="3329"/>
    </row>
    <row r="161" spans="2:10">
      <c r="B161" s="3328"/>
      <c r="C161" s="3329"/>
      <c r="D161" s="3329"/>
      <c r="E161" s="3329"/>
      <c r="F161" s="3329"/>
      <c r="G161" s="3329"/>
      <c r="H161" s="3329"/>
      <c r="I161" s="3329"/>
      <c r="J161" s="3329"/>
    </row>
    <row r="162" spans="2:10" ht="35.25" customHeight="1">
      <c r="B162" s="3330"/>
      <c r="C162" s="3330"/>
      <c r="D162" s="3330"/>
      <c r="E162" s="3330"/>
      <c r="F162" s="3330"/>
      <c r="G162" s="3330"/>
      <c r="H162" s="3330"/>
      <c r="I162" s="3330"/>
      <c r="J162" s="3330"/>
    </row>
    <row r="163" spans="2:10" ht="33.75" customHeight="1">
      <c r="B163" s="3331"/>
      <c r="C163" s="3331"/>
      <c r="D163" s="3331"/>
      <c r="E163" s="3331"/>
      <c r="F163" s="3331"/>
      <c r="G163" s="3331"/>
      <c r="H163" s="3331"/>
      <c r="I163" s="3331"/>
      <c r="J163" s="3331"/>
    </row>
    <row r="164" spans="2:10">
      <c r="B164" s="3329"/>
      <c r="C164" s="3329"/>
      <c r="D164" s="3329"/>
      <c r="E164" s="3329"/>
      <c r="F164" s="3329"/>
      <c r="G164" s="3329"/>
      <c r="H164" s="3329"/>
      <c r="I164" s="3329"/>
      <c r="J164" s="3329"/>
    </row>
    <row r="165" spans="2:10" ht="25.5" customHeight="1">
      <c r="B165" s="3328"/>
      <c r="C165" s="3329"/>
      <c r="D165" s="3329"/>
      <c r="E165" s="3329"/>
      <c r="F165" s="3329"/>
      <c r="G165" s="3329"/>
      <c r="H165" s="3329"/>
      <c r="I165" s="3329"/>
      <c r="J165" s="3329"/>
    </row>
    <row r="166" spans="2:10" ht="27" customHeight="1">
      <c r="B166" s="3330"/>
      <c r="C166" s="3330"/>
      <c r="D166" s="3330"/>
      <c r="E166" s="3330"/>
      <c r="F166" s="3330"/>
      <c r="G166" s="3330"/>
      <c r="H166" s="3330"/>
      <c r="I166" s="3330"/>
      <c r="J166" s="3330"/>
    </row>
    <row r="167" spans="2:10" ht="38.25" customHeight="1">
      <c r="B167" s="3331"/>
      <c r="C167" s="3331"/>
      <c r="D167" s="3331"/>
      <c r="E167" s="3331"/>
      <c r="F167" s="3331"/>
      <c r="G167" s="3331"/>
      <c r="H167" s="3331"/>
      <c r="I167" s="3331"/>
      <c r="J167" s="3331"/>
    </row>
    <row r="168" spans="2:10" ht="56.25" customHeight="1">
      <c r="B168" s="3331"/>
      <c r="C168" s="3331"/>
      <c r="D168" s="3331"/>
      <c r="E168" s="3331"/>
      <c r="F168" s="3331"/>
      <c r="G168" s="3331"/>
      <c r="H168" s="3331"/>
      <c r="I168" s="3331"/>
      <c r="J168" s="3331"/>
    </row>
    <row r="169" spans="2:10" ht="74.25" customHeight="1">
      <c r="B169" s="3331"/>
      <c r="C169" s="3331"/>
      <c r="D169" s="3331"/>
      <c r="E169" s="3331"/>
      <c r="F169" s="3331"/>
      <c r="G169" s="3331"/>
      <c r="H169" s="3331"/>
      <c r="I169" s="3331"/>
      <c r="J169" s="3331"/>
    </row>
    <row r="170" spans="2:10" ht="205.5" customHeight="1">
      <c r="B170" s="3331"/>
      <c r="C170" s="3331"/>
      <c r="D170" s="3331"/>
      <c r="E170" s="3331"/>
      <c r="F170" s="3331"/>
      <c r="G170" s="3331"/>
      <c r="H170" s="3331"/>
      <c r="I170" s="3331"/>
      <c r="J170" s="3331"/>
    </row>
    <row r="171" spans="2:10" ht="52.5" customHeight="1">
      <c r="B171" s="3331"/>
      <c r="C171" s="3331"/>
      <c r="D171" s="3331"/>
      <c r="E171" s="3331"/>
      <c r="F171" s="3331"/>
      <c r="G171" s="3331"/>
      <c r="H171" s="3331"/>
      <c r="I171" s="3331"/>
      <c r="J171" s="3331"/>
    </row>
    <row r="172" spans="2:10" ht="31.5" customHeight="1">
      <c r="B172" s="3332"/>
      <c r="C172" s="3332"/>
      <c r="D172" s="3332"/>
      <c r="E172" s="3332"/>
      <c r="F172" s="3332"/>
      <c r="G172" s="3332"/>
      <c r="H172" s="3332"/>
      <c r="I172" s="3332"/>
      <c r="J172" s="3332"/>
    </row>
    <row r="173" spans="2:10">
      <c r="B173" s="3329"/>
      <c r="C173" s="3329"/>
      <c r="D173" s="3329"/>
      <c r="E173" s="3329"/>
      <c r="F173" s="3329"/>
      <c r="G173" s="3329"/>
      <c r="H173" s="3329"/>
      <c r="I173" s="3329"/>
      <c r="J173" s="3329"/>
    </row>
    <row r="174" spans="2:10" ht="33" customHeight="1">
      <c r="B174" s="3331"/>
      <c r="C174" s="3331"/>
      <c r="D174" s="3331"/>
      <c r="E174" s="3331"/>
      <c r="F174" s="3331"/>
      <c r="G174" s="3331"/>
      <c r="H174" s="3331"/>
      <c r="I174" s="3331"/>
      <c r="J174" s="3331"/>
    </row>
    <row r="175" spans="2:10" ht="48" customHeight="1">
      <c r="B175" s="3332"/>
      <c r="C175" s="3332"/>
      <c r="D175" s="3332"/>
      <c r="E175" s="3332"/>
      <c r="F175" s="3332"/>
      <c r="G175" s="3332"/>
      <c r="H175" s="3332"/>
      <c r="I175" s="3332"/>
      <c r="J175" s="3332"/>
    </row>
    <row r="176" spans="2:10" ht="55.5" customHeight="1">
      <c r="B176" s="3332"/>
      <c r="C176" s="3332"/>
      <c r="D176" s="3332"/>
      <c r="E176" s="3332"/>
      <c r="F176" s="3332"/>
      <c r="G176" s="3332"/>
      <c r="H176" s="3332"/>
      <c r="I176" s="3332"/>
      <c r="J176" s="3332"/>
    </row>
    <row r="177" spans="2:10" ht="42" customHeight="1">
      <c r="B177" s="3332"/>
      <c r="C177" s="3332"/>
      <c r="D177" s="3332"/>
      <c r="E177" s="3332"/>
      <c r="F177" s="3332"/>
      <c r="G177" s="3332"/>
      <c r="H177" s="3332"/>
      <c r="I177" s="3332"/>
      <c r="J177" s="3332"/>
    </row>
    <row r="178" spans="2:10">
      <c r="B178" s="3328"/>
      <c r="C178" s="3329"/>
      <c r="D178" s="3329"/>
      <c r="E178" s="3329"/>
      <c r="F178" s="3329"/>
      <c r="G178" s="3329"/>
      <c r="H178" s="3329"/>
      <c r="I178" s="3329"/>
      <c r="J178" s="3329"/>
    </row>
    <row r="179" spans="2:10" ht="32.25" customHeight="1">
      <c r="B179" s="3330"/>
      <c r="C179" s="3330"/>
      <c r="D179" s="3330"/>
      <c r="E179" s="3330"/>
      <c r="F179" s="3330"/>
      <c r="G179" s="3330"/>
      <c r="H179" s="3330"/>
      <c r="I179" s="3330"/>
      <c r="J179" s="3330"/>
    </row>
    <row r="180" spans="2:10" ht="35.25" customHeight="1">
      <c r="B180" s="3331"/>
      <c r="C180" s="3331"/>
      <c r="D180" s="3331"/>
      <c r="E180" s="3331"/>
      <c r="F180" s="3331"/>
      <c r="G180" s="3331"/>
      <c r="H180" s="3331"/>
      <c r="I180" s="3331"/>
      <c r="J180" s="3331"/>
    </row>
    <row r="181" spans="2:10" ht="31.5" customHeight="1">
      <c r="B181" s="3330"/>
      <c r="C181" s="3330"/>
      <c r="D181" s="3330"/>
      <c r="E181" s="3330"/>
      <c r="F181" s="3330"/>
      <c r="G181" s="3330"/>
      <c r="H181" s="3330"/>
      <c r="I181" s="3330"/>
      <c r="J181" s="3330"/>
    </row>
    <row r="182" spans="2:10">
      <c r="B182" s="3328"/>
      <c r="C182" s="3329"/>
      <c r="D182" s="3329"/>
      <c r="E182" s="3329"/>
      <c r="F182" s="3329"/>
      <c r="G182" s="3329"/>
      <c r="H182" s="3329"/>
      <c r="I182" s="3329"/>
      <c r="J182" s="3329"/>
    </row>
    <row r="183" spans="2:10" ht="32.25" customHeight="1">
      <c r="B183" s="3330"/>
      <c r="C183" s="3330"/>
      <c r="D183" s="3330"/>
      <c r="E183" s="3330"/>
      <c r="F183" s="3330"/>
      <c r="G183" s="3330"/>
      <c r="H183" s="3330"/>
      <c r="I183" s="3330"/>
      <c r="J183" s="3330"/>
    </row>
    <row r="184" spans="2:10" ht="36" customHeight="1">
      <c r="B184" s="3330"/>
      <c r="C184" s="3330"/>
      <c r="D184" s="3330"/>
      <c r="E184" s="3330"/>
      <c r="F184" s="3330"/>
      <c r="G184" s="3330"/>
      <c r="H184" s="3330"/>
      <c r="I184" s="3330"/>
      <c r="J184" s="3330"/>
    </row>
    <row r="185" spans="2:10" ht="44.25" customHeight="1">
      <c r="B185" s="3331"/>
      <c r="C185" s="3331"/>
      <c r="D185" s="3331"/>
      <c r="E185" s="3331"/>
      <c r="F185" s="3331"/>
      <c r="G185" s="3331"/>
      <c r="H185" s="3331"/>
      <c r="I185" s="3331"/>
      <c r="J185" s="3331"/>
    </row>
    <row r="186" spans="2:10" ht="35.25" customHeight="1">
      <c r="B186" s="3331"/>
      <c r="C186" s="3331"/>
      <c r="D186" s="3331"/>
      <c r="E186" s="3331"/>
      <c r="F186" s="3331"/>
      <c r="G186" s="3331"/>
      <c r="H186" s="3331"/>
      <c r="I186" s="3331"/>
      <c r="J186" s="3331"/>
    </row>
    <row r="187" spans="2:10">
      <c r="B187" s="3328"/>
      <c r="C187" s="3329"/>
      <c r="D187" s="3329"/>
      <c r="E187" s="3329"/>
      <c r="F187" s="3329"/>
      <c r="G187" s="3329"/>
      <c r="H187" s="3329"/>
      <c r="I187" s="3329"/>
      <c r="J187" s="3329"/>
    </row>
    <row r="188" spans="2:10" ht="36" customHeight="1">
      <c r="B188" s="3330"/>
      <c r="C188" s="3330"/>
      <c r="D188" s="3330"/>
      <c r="E188" s="3330"/>
      <c r="F188" s="3330"/>
      <c r="G188" s="3330"/>
      <c r="H188" s="3330"/>
      <c r="I188" s="3330"/>
      <c r="J188" s="3330"/>
    </row>
    <row r="189" spans="2:10" ht="66.75" customHeight="1">
      <c r="B189" s="3331"/>
      <c r="C189" s="3331"/>
      <c r="D189" s="3331"/>
      <c r="E189" s="3331"/>
      <c r="F189" s="3331"/>
      <c r="G189" s="3331"/>
      <c r="H189" s="3331"/>
      <c r="I189" s="3331"/>
      <c r="J189" s="3331"/>
    </row>
    <row r="190" spans="2:10">
      <c r="B190" s="3328"/>
      <c r="C190" s="3329"/>
      <c r="D190" s="3329"/>
      <c r="E190" s="3329"/>
      <c r="F190" s="3329"/>
      <c r="G190" s="3329"/>
      <c r="H190" s="3329"/>
      <c r="I190" s="3329"/>
      <c r="J190" s="3329"/>
    </row>
    <row r="191" spans="2:10" ht="39.75" customHeight="1">
      <c r="B191" s="3330"/>
      <c r="C191" s="3330"/>
      <c r="D191" s="3330"/>
      <c r="E191" s="3330"/>
      <c r="F191" s="3330"/>
      <c r="G191" s="3330"/>
      <c r="H191" s="3330"/>
      <c r="I191" s="3330"/>
      <c r="J191" s="3330"/>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topLeftCell="A1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6697</v>
      </c>
      <c r="B3" s="2914" t="str">
        <f>Lead!$C$5</f>
        <v>北京鼎竑信息技术有限公司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49" t="s">
        <v>6700</v>
      </c>
      <c r="C7" s="3344" t="s">
        <v>6701</v>
      </c>
      <c r="D7" s="3344" t="s">
        <v>6702</v>
      </c>
      <c r="E7" s="3344" t="s">
        <v>6703</v>
      </c>
      <c r="F7" s="3343" t="s">
        <v>6704</v>
      </c>
      <c r="G7" s="3343"/>
      <c r="H7" s="3343" t="s">
        <v>6705</v>
      </c>
      <c r="I7" s="3343"/>
      <c r="J7" s="3343" t="s">
        <v>6706</v>
      </c>
      <c r="K7" s="3343"/>
      <c r="L7" s="3343" t="s">
        <v>6707</v>
      </c>
      <c r="M7" s="3343"/>
      <c r="N7" s="3344" t="s">
        <v>6708</v>
      </c>
      <c r="O7" s="3346" t="s">
        <v>6709</v>
      </c>
      <c r="P7" s="3347" t="s">
        <v>6710</v>
      </c>
      <c r="Q7" s="2905"/>
    </row>
    <row r="8" spans="1:17" s="2928" customFormat="1" ht="18" customHeight="1">
      <c r="A8" s="2925"/>
      <c r="B8" s="3350"/>
      <c r="C8" s="3345"/>
      <c r="D8" s="3345"/>
      <c r="E8" s="3345"/>
      <c r="F8" s="2955" t="s">
        <v>6711</v>
      </c>
      <c r="G8" s="2955" t="s">
        <v>6712</v>
      </c>
      <c r="H8" s="2955" t="s">
        <v>6711</v>
      </c>
      <c r="I8" s="2955" t="s">
        <v>6712</v>
      </c>
      <c r="J8" s="2955" t="s">
        <v>6711</v>
      </c>
      <c r="K8" s="2955" t="s">
        <v>6712</v>
      </c>
      <c r="L8" s="2955" t="s">
        <v>6711</v>
      </c>
      <c r="M8" s="2955" t="s">
        <v>6712</v>
      </c>
      <c r="N8" s="3345"/>
      <c r="O8" s="3345"/>
      <c r="P8" s="3348"/>
      <c r="Q8" s="2905"/>
    </row>
    <row r="9" spans="1:17" s="2928" customFormat="1" ht="18" customHeight="1">
      <c r="A9" s="2925"/>
      <c r="B9" s="2956" t="s">
        <v>6713</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6714</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6715</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6714</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6716</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6717</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6714</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6718</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6694</v>
      </c>
      <c r="Q34" s="2946"/>
    </row>
    <row r="35" spans="1:17">
      <c r="B35" s="2948" t="s">
        <v>6695</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6720</v>
      </c>
      <c r="B3" s="2914" t="str">
        <f>Lead!$C$5</f>
        <v>北京鼎竑信息技术有限公司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6700</v>
      </c>
      <c r="C8" s="2976" t="s">
        <v>6723</v>
      </c>
      <c r="D8" s="2976" t="s">
        <v>6724</v>
      </c>
      <c r="E8" s="2976" t="s">
        <v>6725</v>
      </c>
      <c r="F8" s="2976" t="s">
        <v>6726</v>
      </c>
      <c r="G8" s="2976" t="s">
        <v>6727</v>
      </c>
      <c r="H8" s="2977" t="s">
        <v>6710</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6694</v>
      </c>
      <c r="C26" s="2945"/>
      <c r="D26" s="2945"/>
      <c r="E26" s="2945"/>
      <c r="F26" s="2945"/>
      <c r="G26" s="2945"/>
      <c r="H26" s="2945"/>
      <c r="I26" s="2946"/>
    </row>
    <row r="27" spans="1:9">
      <c r="B27" s="2948" t="s">
        <v>6695</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6728</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6729</v>
      </c>
      <c r="B3" s="2914" t="str">
        <f>Lead!$C$5</f>
        <v>北京鼎竑信息技术有限公司</v>
      </c>
      <c r="C3" s="2915"/>
      <c r="D3" s="2915"/>
      <c r="E3" s="2908"/>
      <c r="F3" s="2910"/>
      <c r="G3" s="2910"/>
      <c r="H3" s="2916" t="str">
        <f>""&amp;$B$1</f>
        <v>9000B</v>
      </c>
      <c r="I3" s="2912"/>
    </row>
    <row r="4" spans="1:9">
      <c r="A4" s="2901" t="s">
        <v>6730</v>
      </c>
      <c r="B4" s="2918" t="s">
        <v>6731</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6732</v>
      </c>
      <c r="C7" s="2989"/>
      <c r="D7" s="2990"/>
      <c r="E7" s="2990"/>
      <c r="F7" s="2990"/>
      <c r="G7" s="2990"/>
      <c r="H7" s="2927"/>
      <c r="I7" s="2905"/>
    </row>
    <row r="8" spans="1:9" s="2928" customFormat="1" ht="42" customHeight="1">
      <c r="A8" s="2925"/>
      <c r="B8" s="2991" t="s">
        <v>2650</v>
      </c>
      <c r="C8" s="2992" t="s">
        <v>6733</v>
      </c>
      <c r="D8" s="2992" t="s">
        <v>6734</v>
      </c>
      <c r="E8" s="3357" t="s">
        <v>6735</v>
      </c>
      <c r="F8" s="3358"/>
      <c r="G8" s="2992" t="s">
        <v>6736</v>
      </c>
      <c r="H8" s="2993" t="s">
        <v>6737</v>
      </c>
      <c r="I8" s="2905"/>
    </row>
    <row r="9" spans="1:9" s="2928" customFormat="1" ht="21" customHeight="1">
      <c r="A9" s="2925"/>
      <c r="B9" s="2994"/>
      <c r="C9" s="2995"/>
      <c r="D9" s="2996"/>
      <c r="E9" s="3351"/>
      <c r="F9" s="3352"/>
      <c r="G9" s="2997"/>
      <c r="H9" s="2998"/>
      <c r="I9" s="2905"/>
    </row>
    <row r="10" spans="1:9" s="2928" customFormat="1" ht="20.25" customHeight="1">
      <c r="A10" s="2925"/>
      <c r="B10" s="2999"/>
      <c r="C10" s="3000"/>
      <c r="D10" s="3000"/>
      <c r="E10" s="3353"/>
      <c r="F10" s="3354"/>
      <c r="G10" s="3001"/>
      <c r="H10" s="3002"/>
      <c r="I10" s="2905"/>
    </row>
    <row r="11" spans="1:9" s="2928" customFormat="1" ht="20.25" customHeight="1">
      <c r="A11" s="2925"/>
      <c r="B11" s="2999"/>
      <c r="C11" s="3000"/>
      <c r="D11" s="3000"/>
      <c r="E11" s="3353"/>
      <c r="F11" s="3354"/>
      <c r="G11" s="3001"/>
      <c r="H11" s="3002"/>
      <c r="I11" s="2905"/>
    </row>
    <row r="12" spans="1:9" s="2928" customFormat="1" ht="20.25" customHeight="1">
      <c r="A12" s="2925"/>
      <c r="B12" s="3003"/>
      <c r="C12" s="3004"/>
      <c r="D12" s="3004"/>
      <c r="E12" s="3355"/>
      <c r="F12" s="3356"/>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6733</v>
      </c>
      <c r="D15" s="2992" t="s">
        <v>6734</v>
      </c>
      <c r="E15" s="3357" t="s">
        <v>6735</v>
      </c>
      <c r="F15" s="3358"/>
      <c r="G15" s="2992" t="s">
        <v>6736</v>
      </c>
      <c r="H15" s="2993" t="s">
        <v>6737</v>
      </c>
      <c r="I15" s="2905"/>
    </row>
    <row r="16" spans="1:9" s="2928" customFormat="1" ht="20.25" customHeight="1">
      <c r="A16" s="2925"/>
      <c r="B16" s="2994"/>
      <c r="C16" s="2995"/>
      <c r="D16" s="2996"/>
      <c r="E16" s="3351"/>
      <c r="F16" s="3352"/>
      <c r="G16" s="2997"/>
      <c r="H16" s="2998"/>
      <c r="I16" s="2905"/>
    </row>
    <row r="17" spans="1:9" s="2928" customFormat="1" ht="20.25" customHeight="1">
      <c r="A17" s="2925"/>
      <c r="B17" s="2999"/>
      <c r="C17" s="3000"/>
      <c r="D17" s="3000"/>
      <c r="E17" s="3353"/>
      <c r="F17" s="3354"/>
      <c r="G17" s="3001"/>
      <c r="H17" s="3002"/>
      <c r="I17" s="2905"/>
    </row>
    <row r="18" spans="1:9" s="2928" customFormat="1" ht="20.25" customHeight="1">
      <c r="A18" s="2925"/>
      <c r="B18" s="2999"/>
      <c r="C18" s="3000"/>
      <c r="D18" s="3000"/>
      <c r="E18" s="3353"/>
      <c r="F18" s="3354"/>
      <c r="G18" s="3001"/>
      <c r="H18" s="3002"/>
      <c r="I18" s="2905"/>
    </row>
    <row r="19" spans="1:9" s="2928" customFormat="1" ht="20.25" customHeight="1">
      <c r="A19" s="2925"/>
      <c r="B19" s="3003"/>
      <c r="C19" s="3004"/>
      <c r="D19" s="3004"/>
      <c r="E19" s="3355"/>
      <c r="F19" s="3356"/>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6739</v>
      </c>
      <c r="C21" s="2990"/>
      <c r="D21" s="2990"/>
      <c r="E21" s="2990"/>
      <c r="F21" s="2990"/>
      <c r="G21" s="2990"/>
      <c r="H21" s="2927"/>
      <c r="I21" s="2905"/>
    </row>
    <row r="22" spans="1:9" s="2928" customFormat="1" ht="20.25" customHeight="1">
      <c r="A22" s="2925"/>
      <c r="B22" s="3011" t="s">
        <v>6740</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6741</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6742</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6743</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6744</v>
      </c>
      <c r="C39" s="2945"/>
      <c r="D39" s="2945"/>
      <c r="E39" s="2945"/>
      <c r="F39" s="2945"/>
      <c r="G39" s="2945"/>
      <c r="H39" s="2945"/>
      <c r="I39" s="2946"/>
    </row>
    <row r="40" spans="1:9">
      <c r="B40" s="2948" t="s">
        <v>6745</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6746</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6747</v>
      </c>
      <c r="B3" s="2914" t="str">
        <f>Lead!$C$5</f>
        <v>北京鼎竑信息技术有限公司</v>
      </c>
      <c r="C3" s="2915"/>
      <c r="D3" s="2915"/>
      <c r="E3" s="2915"/>
      <c r="F3" s="2953"/>
      <c r="G3" s="2953"/>
      <c r="H3" s="2909"/>
      <c r="I3" s="2910"/>
      <c r="J3" s="2910"/>
      <c r="K3" s="2916" t="str">
        <f>""&amp;$B$1</f>
        <v>9000C</v>
      </c>
      <c r="L3" s="2912"/>
    </row>
    <row r="4" spans="1:12">
      <c r="A4" s="2917" t="s">
        <v>6748</v>
      </c>
      <c r="B4" s="2918" t="s">
        <v>6749</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6750</v>
      </c>
      <c r="C7" s="2926"/>
      <c r="D7" s="2926"/>
      <c r="E7" s="2926"/>
      <c r="F7" s="2926"/>
      <c r="G7" s="2926"/>
      <c r="H7" s="2926"/>
      <c r="I7" s="2927"/>
      <c r="J7" s="2927"/>
      <c r="K7" s="2927"/>
      <c r="L7" s="2905"/>
    </row>
    <row r="8" spans="1:12" s="2928" customFormat="1" ht="20.25" customHeight="1">
      <c r="A8" s="2925"/>
      <c r="B8" s="3013" t="s">
        <v>6751</v>
      </c>
      <c r="C8" s="2926"/>
      <c r="D8" s="2926"/>
      <c r="E8" s="2926"/>
      <c r="F8" s="2926"/>
      <c r="G8" s="2926"/>
      <c r="H8" s="2926"/>
      <c r="I8" s="2927"/>
      <c r="J8" s="2927"/>
      <c r="K8" s="2927"/>
      <c r="L8" s="2905"/>
    </row>
    <row r="9" spans="1:12" s="2928" customFormat="1" ht="20.25" customHeight="1">
      <c r="A9" s="2925"/>
      <c r="B9" s="3014"/>
      <c r="C9" s="3015"/>
      <c r="D9" s="3359" t="s">
        <v>2887</v>
      </c>
      <c r="E9" s="3359"/>
      <c r="F9" s="3359"/>
      <c r="G9" s="3359"/>
      <c r="H9" s="3359"/>
      <c r="I9" s="3359"/>
      <c r="J9" s="3359"/>
      <c r="K9" s="3360"/>
      <c r="L9" s="2905"/>
    </row>
    <row r="10" spans="1:12" s="2928" customFormat="1" ht="20.25" customHeight="1">
      <c r="A10" s="2925"/>
      <c r="B10" s="3016" t="s">
        <v>6752</v>
      </c>
      <c r="C10" s="3017" t="s">
        <v>6753</v>
      </c>
      <c r="D10" s="3017" t="s">
        <v>6754</v>
      </c>
      <c r="E10" s="3017" t="s">
        <v>6755</v>
      </c>
      <c r="F10" s="3017" t="s">
        <v>6756</v>
      </c>
      <c r="G10" s="3017" t="s">
        <v>6757</v>
      </c>
      <c r="H10" s="3017" t="s">
        <v>6758</v>
      </c>
      <c r="I10" s="3017" t="s">
        <v>6759</v>
      </c>
      <c r="J10" s="3017" t="s">
        <v>6760</v>
      </c>
      <c r="K10" s="3018" t="s">
        <v>6761</v>
      </c>
      <c r="L10" s="2905"/>
    </row>
    <row r="11" spans="1:12" s="2928" customFormat="1" ht="20.25" customHeight="1">
      <c r="A11" s="2925"/>
      <c r="B11" s="3016" t="s">
        <v>6762</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6763</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6764</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6765</v>
      </c>
      <c r="C14" s="2926"/>
      <c r="D14" s="3027"/>
      <c r="E14" s="2926"/>
      <c r="F14" s="3027"/>
      <c r="G14" s="2926"/>
      <c r="H14" s="2926"/>
      <c r="I14" s="2927"/>
      <c r="J14" s="2927"/>
      <c r="K14" s="2927"/>
      <c r="L14" s="2905"/>
    </row>
    <row r="15" spans="1:12" s="2928" customFormat="1" ht="20.25" customHeight="1">
      <c r="A15" s="2925"/>
      <c r="B15" s="3013" t="s">
        <v>6766</v>
      </c>
      <c r="C15" s="2926"/>
      <c r="D15" s="2926"/>
      <c r="E15" s="2926"/>
      <c r="F15" s="2926"/>
      <c r="G15" s="3028" t="s">
        <v>6767</v>
      </c>
      <c r="H15" s="2926"/>
      <c r="I15" s="2927"/>
      <c r="J15" s="2927"/>
      <c r="K15" s="2927"/>
      <c r="L15" s="2905"/>
    </row>
    <row r="16" spans="1:12" s="2928" customFormat="1" ht="42.75" customHeight="1">
      <c r="A16" s="2925"/>
      <c r="B16" s="3361" t="s">
        <v>6768</v>
      </c>
      <c r="C16" s="3362"/>
      <c r="D16" s="3362"/>
      <c r="E16" s="3362"/>
      <c r="F16" s="3362"/>
      <c r="G16" s="3362"/>
      <c r="H16" s="3362"/>
      <c r="I16" s="3362"/>
      <c r="J16" s="3362"/>
      <c r="K16" s="3362"/>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6769</v>
      </c>
      <c r="C18" s="3034"/>
      <c r="D18" s="3034"/>
      <c r="E18" s="3034"/>
      <c r="F18" s="3034"/>
      <c r="G18" s="3034"/>
      <c r="H18" s="3034"/>
      <c r="I18" s="3035"/>
      <c r="J18" s="3035"/>
      <c r="K18" s="3036"/>
      <c r="L18" s="2905"/>
    </row>
    <row r="19" spans="1:12" s="2928" customFormat="1" ht="20.25" customHeight="1">
      <c r="A19" s="2925"/>
      <c r="B19" s="3012" t="s">
        <v>6770</v>
      </c>
      <c r="C19" s="2926"/>
      <c r="D19" s="2926"/>
      <c r="E19" s="2926"/>
      <c r="F19" s="2926"/>
      <c r="G19" s="2926"/>
      <c r="H19" s="2926"/>
      <c r="I19" s="2927"/>
      <c r="J19" s="2927"/>
      <c r="K19" s="2927"/>
      <c r="L19" s="2905"/>
    </row>
    <row r="20" spans="1:12" s="2928" customFormat="1" ht="20.25" customHeight="1">
      <c r="A20" s="2925"/>
      <c r="B20" s="3013" t="s">
        <v>6771</v>
      </c>
      <c r="C20" s="2926"/>
      <c r="D20" s="2926"/>
      <c r="E20" s="2926"/>
      <c r="F20" s="2926"/>
      <c r="G20" s="2926"/>
      <c r="H20" s="2926"/>
      <c r="I20" s="2927"/>
      <c r="J20" s="2927"/>
      <c r="K20" s="2927"/>
      <c r="L20" s="2905"/>
    </row>
    <row r="21" spans="1:12" s="2928" customFormat="1" ht="20.25" customHeight="1">
      <c r="A21" s="2925"/>
      <c r="B21" s="2926" t="s">
        <v>6772</v>
      </c>
      <c r="C21" s="2926"/>
      <c r="D21" s="2926"/>
      <c r="E21" s="2926"/>
      <c r="F21" s="3037" t="s">
        <v>2887</v>
      </c>
      <c r="G21" s="2926"/>
      <c r="H21" s="2926"/>
      <c r="I21" s="2927"/>
      <c r="J21" s="2927"/>
      <c r="K21" s="2927"/>
      <c r="L21" s="2905"/>
    </row>
    <row r="22" spans="1:12" s="2928" customFormat="1" ht="20.25" customHeight="1">
      <c r="A22" s="2925"/>
      <c r="B22" s="2926" t="s">
        <v>6773</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6774</v>
      </c>
      <c r="C24" s="3028"/>
      <c r="D24" s="3028"/>
      <c r="E24" s="3028"/>
      <c r="F24" s="3028"/>
      <c r="G24" s="2926"/>
      <c r="H24" s="2926"/>
      <c r="I24" s="2927"/>
      <c r="J24" s="2927"/>
      <c r="K24" s="3039"/>
      <c r="L24" s="2905"/>
    </row>
    <row r="25" spans="1:12" s="2928" customFormat="1" ht="20.25" customHeight="1">
      <c r="A25" s="2925"/>
      <c r="B25" s="3033" t="s">
        <v>6775</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6776</v>
      </c>
      <c r="C27" s="2926"/>
      <c r="D27" s="2926"/>
      <c r="E27" s="2926"/>
      <c r="F27" s="2926"/>
      <c r="G27" s="2926"/>
      <c r="H27" s="2926"/>
      <c r="I27" s="2927"/>
      <c r="J27" s="2927"/>
      <c r="K27" s="2927"/>
      <c r="L27" s="2905"/>
    </row>
    <row r="28" spans="1:12" s="2928" customFormat="1" ht="20.25" customHeight="1">
      <c r="A28" s="2925"/>
      <c r="B28" s="2926" t="s">
        <v>6777</v>
      </c>
      <c r="C28" s="2926"/>
      <c r="D28" s="2926"/>
      <c r="E28" s="2926"/>
      <c r="F28" s="3037" t="s">
        <v>2887</v>
      </c>
      <c r="G28" s="2926"/>
      <c r="H28" s="2926"/>
      <c r="I28" s="2927"/>
      <c r="J28" s="2927"/>
      <c r="K28" s="2927"/>
      <c r="L28" s="2905"/>
    </row>
    <row r="29" spans="1:12" s="2928" customFormat="1" ht="20.25" customHeight="1">
      <c r="A29" s="2925"/>
      <c r="B29" s="2926" t="s">
        <v>6778</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6779</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6694</v>
      </c>
      <c r="C34" s="2945"/>
      <c r="D34" s="2945"/>
      <c r="E34" s="2945"/>
      <c r="F34" s="2945"/>
      <c r="G34" s="2945"/>
      <c r="H34" s="2945"/>
      <c r="I34" s="2945"/>
      <c r="J34" s="2945"/>
      <c r="K34" s="2945"/>
      <c r="L34" s="2946"/>
    </row>
    <row r="35" spans="1:12">
      <c r="B35" s="2948" t="s">
        <v>6695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topLeftCell="A4"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6780</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6781</v>
      </c>
      <c r="B3" s="2914" t="str">
        <f>Lead!$C$5</f>
        <v>北京鼎竑信息技术有限公司</v>
      </c>
      <c r="C3" s="2915"/>
      <c r="D3" s="2915"/>
      <c r="E3" s="2915"/>
      <c r="F3" s="2953"/>
      <c r="G3" s="2953"/>
      <c r="H3" s="2909"/>
      <c r="I3" s="2910"/>
      <c r="J3" s="2910"/>
      <c r="K3" s="2916" t="str">
        <f>""&amp;$B$1</f>
        <v>9000D</v>
      </c>
      <c r="L3" s="2912"/>
    </row>
    <row r="4" spans="1:12">
      <c r="A4" s="2901" t="s">
        <v>6782</v>
      </c>
      <c r="B4" s="2918" t="s">
        <v>6783</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6784</v>
      </c>
      <c r="C7" s="2926"/>
      <c r="D7" s="2926"/>
      <c r="E7" s="2926"/>
      <c r="F7" s="2926"/>
      <c r="G7" s="2926"/>
      <c r="H7" s="2926"/>
      <c r="I7" s="2927"/>
      <c r="J7" s="2927"/>
      <c r="K7" s="2927"/>
      <c r="L7" s="2905"/>
    </row>
    <row r="8" spans="1:12" s="2928" customFormat="1" ht="20.25" customHeight="1">
      <c r="A8" s="2925"/>
      <c r="B8" s="2926"/>
      <c r="C8" s="3014" t="s">
        <v>6785</v>
      </c>
      <c r="D8" s="3041"/>
      <c r="E8" s="3041"/>
      <c r="F8" s="3041"/>
      <c r="G8" s="3041"/>
      <c r="H8" s="3041"/>
      <c r="I8" s="3042"/>
      <c r="J8" s="3042"/>
      <c r="K8" s="3042"/>
      <c r="L8" s="2905"/>
    </row>
    <row r="9" spans="1:12" s="2928" customFormat="1" ht="20.25" customHeight="1">
      <c r="A9" s="2925"/>
      <c r="B9" s="2926"/>
      <c r="C9" s="3043" t="s">
        <v>6786</v>
      </c>
      <c r="D9" s="3044"/>
      <c r="E9" s="3044"/>
      <c r="F9" s="3044"/>
      <c r="G9" s="3044"/>
      <c r="H9" s="3044"/>
      <c r="I9" s="3045"/>
      <c r="J9" s="3045"/>
      <c r="K9" s="3045"/>
      <c r="L9" s="2905"/>
    </row>
    <row r="10" spans="1:12" s="2928" customFormat="1" ht="20.25" customHeight="1">
      <c r="A10" s="2925"/>
      <c r="B10" s="2926"/>
      <c r="C10" s="3043" t="s">
        <v>6787</v>
      </c>
      <c r="D10" s="3044"/>
      <c r="E10" s="3044"/>
      <c r="F10" s="3044"/>
      <c r="G10" s="3044"/>
      <c r="H10" s="3044"/>
      <c r="I10" s="3045"/>
      <c r="J10" s="3045"/>
      <c r="K10" s="3045"/>
      <c r="L10" s="2905"/>
    </row>
    <row r="11" spans="1:12" s="2928" customFormat="1" ht="20.25" customHeight="1">
      <c r="A11" s="2925"/>
      <c r="B11" s="2926"/>
      <c r="C11" s="3046" t="s">
        <v>6788</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6789</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6790</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6791</v>
      </c>
      <c r="C23" s="2926"/>
      <c r="D23" s="2926"/>
      <c r="E23" s="2926"/>
      <c r="F23" s="2926"/>
      <c r="G23" s="2926"/>
      <c r="H23" s="2926"/>
      <c r="I23" s="2927"/>
      <c r="J23" s="2927"/>
      <c r="K23" s="2927"/>
      <c r="L23" s="2905"/>
    </row>
    <row r="24" spans="1:12" s="2928" customFormat="1" ht="20.25" customHeight="1">
      <c r="A24" s="2925"/>
      <c r="B24" s="3052"/>
      <c r="C24" s="3014" t="s">
        <v>6785</v>
      </c>
      <c r="D24" s="3041"/>
      <c r="E24" s="3041"/>
      <c r="F24" s="3041"/>
      <c r="G24" s="3041"/>
      <c r="H24" s="3041"/>
      <c r="I24" s="3042"/>
      <c r="J24" s="3042"/>
      <c r="K24" s="3042"/>
      <c r="L24" s="2905"/>
    </row>
    <row r="25" spans="1:12" s="2928" customFormat="1" ht="20.25" customHeight="1">
      <c r="A25" s="2925"/>
      <c r="B25" s="3052"/>
      <c r="C25" s="3043" t="s">
        <v>6792</v>
      </c>
      <c r="D25" s="3044"/>
      <c r="E25" s="3044"/>
      <c r="F25" s="3044"/>
      <c r="G25" s="3044"/>
      <c r="H25" s="3044"/>
      <c r="I25" s="3045"/>
      <c r="J25" s="3045"/>
      <c r="K25" s="3045"/>
      <c r="L25" s="2905"/>
    </row>
    <row r="26" spans="1:12" s="2928" customFormat="1" ht="20.25" customHeight="1">
      <c r="A26" s="2925"/>
      <c r="B26" s="3052"/>
      <c r="C26" s="3043" t="s">
        <v>6787</v>
      </c>
      <c r="D26" s="3044"/>
      <c r="E26" s="3044"/>
      <c r="F26" s="3044"/>
      <c r="G26" s="3044"/>
      <c r="H26" s="3044"/>
      <c r="I26" s="3045"/>
      <c r="J26" s="3045"/>
      <c r="K26" s="3045"/>
      <c r="L26" s="2905"/>
    </row>
    <row r="27" spans="1:12" s="2928" customFormat="1" ht="20.25" customHeight="1">
      <c r="A27" s="2925"/>
      <c r="B27" s="3052"/>
      <c r="C27" s="3046" t="s">
        <v>6788</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6793</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6794</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6694</v>
      </c>
      <c r="C42" s="2945"/>
      <c r="D42" s="2945"/>
      <c r="E42" s="2945"/>
      <c r="F42" s="2945"/>
      <c r="G42" s="2945"/>
      <c r="H42" s="2945"/>
      <c r="I42" s="2945"/>
      <c r="J42" s="2945"/>
      <c r="K42" s="2945"/>
      <c r="L42" s="2946"/>
    </row>
    <row r="43" spans="1:12">
      <c r="B43" s="2948" t="s">
        <v>6695</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noteChecks</vt:lpstr>
      <vt:lpstr>Checks</vt:lpstr>
      <vt:lpstr>preBS</vt:lpstr>
      <vt:lpstr>preIS</vt:lpstr>
      <vt:lpstr>preCF</vt:lpstr>
      <vt:lpstr>preCE</vt:lpstr>
      <vt:lpstr>TB</vt:lpstr>
      <vt:lpstr>AJE</vt:lpstr>
      <vt:lpstr>CFJE</vt:lpstr>
      <vt:lpstr>UJE</vt:lpstr>
      <vt:lpstr>AJE1</vt:lpstr>
      <vt:lpstr>BS</vt:lpstr>
      <vt:lpstr>IS</vt:lpstr>
      <vt:lpstr>CF</vt:lpstr>
      <vt:lpstr>CE</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2020-04-14T16:59:46Z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